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300" windowWidth="11895" windowHeight="8940" tabRatio="917" firstSheet="37" activeTab="49"/>
  </bookViews>
  <sheets>
    <sheet name="Sheet1" sheetId="110" r:id="rId1"/>
    <sheet name="Sheet2" sheetId="140" r:id="rId2"/>
    <sheet name="AT-1-Gen_Info " sheetId="56" r:id="rId3"/>
    <sheet name="AT-2-S1 BUDGET" sheetId="96" r:id="rId4"/>
    <sheet name="AT_2A_fundflow" sheetId="139" r:id="rId5"/>
    <sheet name="AT-3" sheetId="100" r:id="rId6"/>
    <sheet name="AT3A_cvrg(Insti)_PY" sheetId="1" r:id="rId7"/>
    <sheet name="AT3B_cvrg(Insti)_UPY " sheetId="58" r:id="rId8"/>
    <sheet name="AT3C_cvrg(Insti)_UPY " sheetId="59" r:id="rId9"/>
    <sheet name="enrolment vs opted_PY" sheetId="60" r:id="rId10"/>
    <sheet name="enrolment vs opted_UPY" sheetId="47" r:id="rId11"/>
    <sheet name="AT-4B" sheetId="152" r:id="rId12"/>
    <sheet name="T5_PLAN_vs_PRFM" sheetId="4" r:id="rId13"/>
    <sheet name="T5A_PLAN_vs_PRFM (2)" sheetId="67" r:id="rId14"/>
    <sheet name="AT_5B PERM" sheetId="118" r:id="rId15"/>
    <sheet name="AT_5C PERM" sheetId="119" r:id="rId16"/>
    <sheet name="AT_5D PERM" sheetId="120" r:id="rId17"/>
    <sheet name="T6_FG_py_Utlsn" sheetId="5" r:id="rId18"/>
    <sheet name="T6A_FG_Upy_Utlsn " sheetId="74" r:id="rId19"/>
    <sheet name="T6B_Pay_FG_FCI_Pry" sheetId="86" r:id="rId20"/>
    <sheet name="T6C_Util" sheetId="121" r:id="rId21"/>
    <sheet name="T7_CC_PY_Utlsn" sheetId="7" r:id="rId22"/>
    <sheet name="T7ACC_UPY_Utlsn " sheetId="75" r:id="rId23"/>
    <sheet name="AT-8_Hon_CCH_Pry" sheetId="88" r:id="rId24"/>
    <sheet name="AT-8A_Hon_CCH_UPRY" sheetId="89" r:id="rId25"/>
    <sheet name="AT9_TA" sheetId="13" r:id="rId26"/>
    <sheet name="AT10_MME" sheetId="14" r:id="rId27"/>
    <sheet name="AT10A_" sheetId="132" r:id="rId28"/>
    <sheet name="AT-10B" sheetId="126" r:id="rId29"/>
    <sheet name="AT-10C" sheetId="128" r:id="rId30"/>
    <sheet name="AT-10D" sheetId="102" r:id="rId31"/>
    <sheet name="AT-10 E" sheetId="153" r:id="rId32"/>
    <sheet name="AT-10 F Drinking Water" sheetId="159" r:id="rId33"/>
    <sheet name="AT11_KS Year" sheetId="122" r:id="rId34"/>
    <sheet name="AT11A_KS" sheetId="16" r:id="rId35"/>
    <sheet name="AT12_KD new" sheetId="26" r:id="rId36"/>
    <sheet name="AT12A_Repl" sheetId="123" r:id="rId37"/>
    <sheet name="AT-13" sheetId="135" r:id="rId38"/>
    <sheet name="AT-14" sheetId="129" r:id="rId39"/>
    <sheet name="AT-14 A" sheetId="133" r:id="rId40"/>
    <sheet name="AT-15" sheetId="130" r:id="rId41"/>
    <sheet name="AT-16" sheetId="136" r:id="rId42"/>
    <sheet name="AT_17_Coverage-SHP " sheetId="93" r:id="rId43"/>
    <sheet name="AT18_Details_Community " sheetId="66" r:id="rId44"/>
    <sheet name="AT_19_Impl_Agency" sheetId="84" r:id="rId45"/>
    <sheet name="AT_20" sheetId="137" r:id="rId46"/>
    <sheet name="AT-21" sheetId="105" r:id="rId47"/>
    <sheet name="AT-22" sheetId="108" r:id="rId48"/>
    <sheet name="AT-23" sheetId="101" r:id="rId49"/>
    <sheet name="AT-23 (A)" sheetId="142" r:id="rId50"/>
    <sheet name="AT-24" sheetId="127" r:id="rId51"/>
    <sheet name="AT-25" sheetId="109" r:id="rId52"/>
    <sheet name="Sheet3" sheetId="141" r:id="rId53"/>
    <sheet name="AT26_NoWD" sheetId="27" r:id="rId54"/>
    <sheet name="AT26A_NoWD" sheetId="28" r:id="rId55"/>
    <sheet name="AT27_Req_FG_CA_Pry" sheetId="29" r:id="rId56"/>
    <sheet name="AT27A_Req_FG_CA_UPry" sheetId="81" r:id="rId57"/>
    <sheet name="AT27B_Req_FG_CA_NCLP" sheetId="87" r:id="rId58"/>
    <sheet name="AT27C_Req_FG_CA_Drought (Pry)" sheetId="154" r:id="rId59"/>
    <sheet name="AT27D_Req_FG_CA_Drought(U.Pry.)" sheetId="155" r:id="rId60"/>
    <sheet name="AT_28_RqmtKitchen" sheetId="62" r:id="rId61"/>
    <sheet name="AT-28A_RqmtPlinthArea" sheetId="78" r:id="rId62"/>
    <sheet name="AT29_K_D" sheetId="72" r:id="rId63"/>
    <sheet name="AT-30_Coook-cum-Helper" sheetId="65" r:id="rId64"/>
    <sheet name="AT_31_Budget_provision_11-121 " sheetId="98" r:id="rId65"/>
    <sheet name="Summary of Budget-Proposed" sheetId="112" state="hidden" r:id="rId66"/>
    <sheet name="AT32_Drought Pry Util" sheetId="158" r:id="rId67"/>
    <sheet name="AT-32A Drought UPry Util" sheetId="157" r:id="rId68"/>
    <sheet name="Budget-Proposed" sheetId="143" r:id="rId69"/>
    <sheet name="Budget-Proposed Best Quarter1" sheetId="138" r:id="rId70"/>
    <sheet name="Sheet2 (2)" sheetId="144" r:id="rId71"/>
    <sheet name="44 new madarsha" sheetId="145" r:id="rId72"/>
    <sheet name="GA 48 schools" sheetId="146" r:id="rId73"/>
  </sheets>
  <definedNames>
    <definedName name="_xlnm._FilterDatabase" localSheetId="57" hidden="1">AT27B_Req_FG_CA_NCLP!$A$1:$R$22</definedName>
    <definedName name="_xlnm._FilterDatabase" localSheetId="58" hidden="1">'AT27C_Req_FG_CA_Drought (Pry)'!$A$1:$R$22</definedName>
    <definedName name="_xlnm._FilterDatabase" localSheetId="59" hidden="1">'AT27D_Req_FG_CA_Drought(U.Pry.)'!$A$1:$R$22</definedName>
    <definedName name="_xlnm.Print_Area" localSheetId="71">'44 new madarsha'!$A$1:$G$31</definedName>
    <definedName name="_xlnm.Print_Area" localSheetId="42">'AT_17_Coverage-SHP '!$A$1:$L$34</definedName>
    <definedName name="_xlnm.Print_Area" localSheetId="44">AT_19_Impl_Agency!$A$1:$J$37</definedName>
    <definedName name="_xlnm.Print_Area" localSheetId="60">AT_28_RqmtKitchen!$A$1:$R$31</definedName>
    <definedName name="_xlnm.Print_Area" localSheetId="4">AT_2A_fundflow!$A$1:$V$39</definedName>
    <definedName name="_xlnm.Print_Area" localSheetId="64">'AT_31_Budget_provision_11-121 '!$A$1:$W$33</definedName>
    <definedName name="_xlnm.Print_Area" localSheetId="31">'AT-10 E'!$A$1:$G$30</definedName>
    <definedName name="_xlnm.Print_Area" localSheetId="32">'AT-10 F Drinking Water'!$A$1:$O$31</definedName>
    <definedName name="_xlnm.Print_Area" localSheetId="26">AT10_MME!$A$1:$H$36</definedName>
    <definedName name="_xlnm.Print_Area" localSheetId="27">AT10A_!$A$1:$E$35</definedName>
    <definedName name="_xlnm.Print_Area" localSheetId="29">'AT-10C'!$A$1:$J$31</definedName>
    <definedName name="_xlnm.Print_Area" localSheetId="30">'AT-10D'!$A$1:$L$32</definedName>
    <definedName name="_xlnm.Print_Area" localSheetId="34">AT11A_KS!$A$1:$K$34</definedName>
    <definedName name="_xlnm.Print_Area" localSheetId="35">'AT12_KD new'!$A$1:$K$35</definedName>
    <definedName name="_xlnm.Print_Area" localSheetId="37">'AT-13'!$A$1:$G$31</definedName>
    <definedName name="_xlnm.Print_Area" localSheetId="39">'AT-14 A'!$A$1:$H$20</definedName>
    <definedName name="_xlnm.Print_Area" localSheetId="41">'AT-16'!$A$1:$K$29</definedName>
    <definedName name="_xlnm.Print_Area" localSheetId="43">'AT18_Details_Community '!$A$1:$F$33</definedName>
    <definedName name="_xlnm.Print_Area" localSheetId="2">'AT-1-Gen_Info '!$A$1:$T$63</definedName>
    <definedName name="_xlnm.Print_Area" localSheetId="47">'AT-22'!$A$1:$Q$24</definedName>
    <definedName name="_xlnm.Print_Area" localSheetId="53">AT26_NoWD!$A$1:$L$32</definedName>
    <definedName name="_xlnm.Print_Area" localSheetId="54">AT26A_NoWD!$A$1:$K$31</definedName>
    <definedName name="_xlnm.Print_Area" localSheetId="55">AT27_Req_FG_CA_Pry!$A$1:$R$40</definedName>
    <definedName name="_xlnm.Print_Area" localSheetId="56">AT27A_Req_FG_CA_UPry!$A$1:$R$40</definedName>
    <definedName name="_xlnm.Print_Area" localSheetId="57">AT27B_Req_FG_CA_NCLP!$A$1:$T$37</definedName>
    <definedName name="_xlnm.Print_Area" localSheetId="58">'AT27C_Req_FG_CA_Drought (Pry)'!$A$1:$T$37</definedName>
    <definedName name="_xlnm.Print_Area" localSheetId="59">'AT27D_Req_FG_CA_Drought(U.Pry.)'!$A$1:$T$37</definedName>
    <definedName name="_xlnm.Print_Area" localSheetId="61">'AT-28A_RqmtPlinthArea'!$A$1:$S$30</definedName>
    <definedName name="_xlnm.Print_Area" localSheetId="62">AT29_K_D!$A$1:$AF$35</definedName>
    <definedName name="_xlnm.Print_Area" localSheetId="3">'AT-2-S1 BUDGET'!$A$1:$V$31</definedName>
    <definedName name="_xlnm.Print_Area" localSheetId="63">'AT-30_Coook-cum-Helper'!$A$1:$L$30</definedName>
    <definedName name="_xlnm.Print_Area" localSheetId="66">'AT32_Drought Pry Util'!$A$1:$L$32</definedName>
    <definedName name="_xlnm.Print_Area" localSheetId="67">'AT-32A Drought UPry Util'!$A$1:$L$32</definedName>
    <definedName name="_xlnm.Print_Area" localSheetId="6">'AT3A_cvrg(Insti)_PY'!$A$1:$N$35</definedName>
    <definedName name="_xlnm.Print_Area" localSheetId="7">'AT3B_cvrg(Insti)_UPY '!$A$1:$N$35</definedName>
    <definedName name="_xlnm.Print_Area" localSheetId="8">'AT3C_cvrg(Insti)_UPY '!$A$1:$N$38</definedName>
    <definedName name="_xlnm.Print_Area" localSheetId="23">'AT-8_Hon_CCH_Pry'!$A$1:$V$33</definedName>
    <definedName name="_xlnm.Print_Area" localSheetId="24">'AT-8A_Hon_CCH_UPRY'!$A$1:$V$36</definedName>
    <definedName name="_xlnm.Print_Area" localSheetId="25">AT9_TA!$A$1:$H$33</definedName>
    <definedName name="_xlnm.Print_Area" localSheetId="68">'Budget-Proposed'!$A$1:$G$31</definedName>
    <definedName name="_xlnm.Print_Area" localSheetId="69">'Budget-Proposed Best Quarter1'!$A$1:$G$31</definedName>
    <definedName name="_xlnm.Print_Area" localSheetId="9">'enrolment vs opted_PY'!$A$1:$Q$33</definedName>
    <definedName name="_xlnm.Print_Area" localSheetId="10">'enrolment vs opted_UPY'!$A$1:$Q$36</definedName>
    <definedName name="_xlnm.Print_Area" localSheetId="72">'GA 48 schools'!$A$1:$S$30</definedName>
    <definedName name="_xlnm.Print_Area" localSheetId="1">Sheet2!$A$1:$N$39</definedName>
    <definedName name="_xlnm.Print_Area" localSheetId="70">'Sheet2 (2)'!$A$1:$N$39</definedName>
    <definedName name="_xlnm.Print_Area" localSheetId="52">Sheet3!$A$1:$N$39</definedName>
    <definedName name="_xlnm.Print_Area" localSheetId="12">T5_PLAN_vs_PRFM!$A$1:$J$31</definedName>
    <definedName name="_xlnm.Print_Area" localSheetId="13">'T5A_PLAN_vs_PRFM (2)'!$A$1:$J$34</definedName>
    <definedName name="_xlnm.Print_Area" localSheetId="17">T6_FG_py_Utlsn!$A$1:$L$30</definedName>
    <definedName name="_xlnm.Print_Area" localSheetId="18">'T6A_FG_Upy_Utlsn '!$A$1:$L$31</definedName>
    <definedName name="_xlnm.Print_Area" localSheetId="19">T6B_Pay_FG_FCI_Pry!$A$1:$M$37</definedName>
    <definedName name="_xlnm.Print_Area" localSheetId="20">T6C_Util!$A$1:$L$30</definedName>
    <definedName name="_xlnm.Print_Area" localSheetId="21">T7_CC_PY_Utlsn!$A$1:$Q$32</definedName>
    <definedName name="_xlnm.Print_Area" localSheetId="22">'T7ACC_UPY_Utlsn '!$A$1:$Q$32</definedName>
  </definedNames>
  <calcPr calcId="145621"/>
</workbook>
</file>

<file path=xl/calcChain.xml><?xml version="1.0" encoding="utf-8"?>
<calcChain xmlns="http://schemas.openxmlformats.org/spreadsheetml/2006/main">
  <c r="J21" i="122" l="1"/>
  <c r="I21" i="122"/>
  <c r="H21" i="122"/>
  <c r="G21" i="122"/>
  <c r="F21" i="122"/>
  <c r="E21" i="122"/>
  <c r="K25" i="16" l="1"/>
  <c r="J25" i="16"/>
  <c r="I25" i="16"/>
  <c r="H25" i="16"/>
  <c r="G25" i="16"/>
  <c r="F25" i="16"/>
  <c r="E25" i="16"/>
  <c r="D25" i="16"/>
  <c r="C25" i="16"/>
  <c r="J20" i="122"/>
  <c r="H20" i="122"/>
  <c r="G20" i="122"/>
  <c r="F20" i="122"/>
  <c r="E20" i="122"/>
  <c r="D20" i="122"/>
  <c r="C20" i="122"/>
  <c r="I11" i="122"/>
  <c r="I20" i="122" s="1"/>
  <c r="G22" i="13" l="1"/>
  <c r="F22" i="13"/>
  <c r="E22" i="13"/>
  <c r="H21" i="13"/>
  <c r="H20" i="13"/>
  <c r="H19" i="13"/>
  <c r="H18" i="13"/>
  <c r="H17" i="13"/>
  <c r="H16" i="13"/>
  <c r="H15" i="13"/>
  <c r="H14" i="13"/>
  <c r="H13" i="13"/>
  <c r="H12" i="13"/>
  <c r="H11" i="13"/>
  <c r="H10" i="13"/>
  <c r="H9" i="13"/>
  <c r="H22" i="13" s="1"/>
  <c r="Q28" i="142" l="1"/>
  <c r="P28" i="142"/>
  <c r="O28" i="142"/>
  <c r="N28" i="142"/>
  <c r="M28" i="142"/>
  <c r="L28" i="142"/>
  <c r="K28" i="142"/>
  <c r="J28" i="142"/>
  <c r="I28" i="142"/>
  <c r="H28" i="142"/>
  <c r="G28" i="142"/>
  <c r="F28" i="142"/>
  <c r="E28" i="142"/>
  <c r="G36" i="60"/>
  <c r="G35" i="60"/>
  <c r="F25" i="135"/>
  <c r="K25" i="159"/>
  <c r="J25" i="159"/>
  <c r="I25" i="159"/>
  <c r="H25" i="159"/>
  <c r="G25" i="159"/>
  <c r="F25" i="159"/>
  <c r="E25" i="159"/>
  <c r="D25" i="159"/>
  <c r="E24" i="153"/>
  <c r="J27" i="67"/>
  <c r="I27" i="67"/>
  <c r="J26" i="4"/>
  <c r="I26" i="4"/>
  <c r="U28" i="88"/>
  <c r="T28" i="88"/>
  <c r="S28" i="88"/>
  <c r="R28" i="88"/>
  <c r="Q28" i="88"/>
  <c r="P28" i="88"/>
  <c r="O28" i="88"/>
  <c r="M28" i="88"/>
  <c r="L28" i="88"/>
  <c r="K28" i="88"/>
  <c r="N29" i="88" s="1"/>
  <c r="J28" i="88"/>
  <c r="I28" i="88"/>
  <c r="H28" i="88"/>
  <c r="G28" i="88"/>
  <c r="F28" i="88"/>
  <c r="E28" i="88"/>
  <c r="D28" i="88"/>
  <c r="C28" i="88"/>
  <c r="N28" i="88"/>
  <c r="D27" i="88"/>
  <c r="E27" i="88"/>
  <c r="F27" i="88"/>
  <c r="G27" i="88"/>
  <c r="H27" i="88"/>
  <c r="I27" i="88"/>
  <c r="J27" i="88"/>
  <c r="K27" i="88"/>
  <c r="L27" i="88"/>
  <c r="M27" i="88"/>
  <c r="N27" i="88"/>
  <c r="O27" i="88"/>
  <c r="P27" i="88"/>
  <c r="Q27" i="88"/>
  <c r="R27" i="88"/>
  <c r="S27" i="88"/>
  <c r="T27" i="88"/>
  <c r="U27" i="88"/>
  <c r="V27" i="88"/>
  <c r="C27" i="88"/>
  <c r="L37" i="7"/>
  <c r="D35" i="7"/>
  <c r="E35" i="7"/>
  <c r="F35" i="7"/>
  <c r="G35" i="7"/>
  <c r="H35" i="7"/>
  <c r="I35" i="7"/>
  <c r="J35" i="7"/>
  <c r="K35" i="7"/>
  <c r="L35" i="7"/>
  <c r="M35" i="7"/>
  <c r="N35" i="7"/>
  <c r="O35" i="7"/>
  <c r="P35" i="7"/>
  <c r="Q35" i="7"/>
  <c r="C35" i="7"/>
  <c r="D34" i="7"/>
  <c r="E34" i="7"/>
  <c r="F34" i="7"/>
  <c r="G34" i="7"/>
  <c r="H34" i="7"/>
  <c r="I34" i="7"/>
  <c r="J34" i="7"/>
  <c r="K34" i="7"/>
  <c r="L34" i="7"/>
  <c r="M34" i="7"/>
  <c r="N34" i="7"/>
  <c r="O34" i="7"/>
  <c r="P34" i="7"/>
  <c r="Q34" i="7"/>
  <c r="C34" i="7"/>
  <c r="F34" i="5"/>
  <c r="G33" i="5"/>
  <c r="F33" i="5"/>
  <c r="E33" i="5"/>
  <c r="D33" i="5"/>
  <c r="E32" i="5"/>
  <c r="F32" i="5"/>
  <c r="G32" i="5"/>
  <c r="D32" i="5"/>
  <c r="G28" i="14"/>
  <c r="E32" i="14"/>
  <c r="G39" i="88"/>
  <c r="J39" i="88"/>
  <c r="K39" i="88"/>
  <c r="L25" i="75"/>
  <c r="L26" i="7"/>
  <c r="J25" i="75"/>
  <c r="J26" i="7"/>
  <c r="I28" i="86"/>
  <c r="L27" i="86"/>
  <c r="I27" i="86"/>
  <c r="H27" i="86"/>
  <c r="G27" i="86"/>
  <c r="F27" i="86"/>
  <c r="E27" i="86"/>
  <c r="D27" i="86"/>
  <c r="C27" i="86"/>
  <c r="M26" i="86"/>
  <c r="K26" i="86"/>
  <c r="J26" i="86"/>
  <c r="M25" i="86"/>
  <c r="K25" i="86"/>
  <c r="J25" i="86"/>
  <c r="M24" i="86"/>
  <c r="K24" i="86"/>
  <c r="J24" i="86"/>
  <c r="M23" i="86"/>
  <c r="K23" i="86"/>
  <c r="J23" i="86"/>
  <c r="M22" i="86"/>
  <c r="K22" i="86"/>
  <c r="J22" i="86"/>
  <c r="M21" i="86"/>
  <c r="K21" i="86"/>
  <c r="J21" i="86"/>
  <c r="M20" i="86"/>
  <c r="K20" i="86"/>
  <c r="J20" i="86"/>
  <c r="M19" i="86"/>
  <c r="K19" i="86"/>
  <c r="J19" i="86"/>
  <c r="M18" i="86"/>
  <c r="K18" i="86"/>
  <c r="J18" i="86"/>
  <c r="M17" i="86"/>
  <c r="K17" i="86"/>
  <c r="J17" i="86"/>
  <c r="M16" i="86"/>
  <c r="K16" i="86"/>
  <c r="J16" i="86"/>
  <c r="M15" i="86"/>
  <c r="M27" i="86" s="1"/>
  <c r="K15" i="86"/>
  <c r="J15" i="86"/>
  <c r="M14" i="86"/>
  <c r="K14" i="86"/>
  <c r="K27" i="86" s="1"/>
  <c r="J14" i="86"/>
  <c r="J27" i="86" s="1"/>
  <c r="O21" i="74" l="1"/>
  <c r="C30" i="74"/>
  <c r="C32" i="5"/>
  <c r="F24" i="152"/>
  <c r="E24" i="152"/>
  <c r="D24" i="152"/>
  <c r="Q14" i="96" l="1"/>
  <c r="U14" i="96" s="1"/>
  <c r="Q15" i="96"/>
  <c r="U15" i="96" s="1"/>
  <c r="Q16" i="96"/>
  <c r="U16" i="96" s="1"/>
  <c r="Q17" i="96"/>
  <c r="U17" i="96" s="1"/>
  <c r="Q18" i="96"/>
  <c r="U18" i="96" s="1"/>
  <c r="Q19" i="96"/>
  <c r="U19" i="96" s="1"/>
  <c r="Q20" i="96"/>
  <c r="U20" i="96" s="1"/>
  <c r="P14" i="96"/>
  <c r="T14" i="96" s="1"/>
  <c r="P15" i="96"/>
  <c r="T15" i="96" s="1"/>
  <c r="P16" i="96"/>
  <c r="T16" i="96" s="1"/>
  <c r="P17" i="96"/>
  <c r="T17" i="96" s="1"/>
  <c r="P18" i="96"/>
  <c r="T18" i="96" s="1"/>
  <c r="P19" i="96"/>
  <c r="T19" i="96" s="1"/>
  <c r="P20" i="96"/>
  <c r="T20" i="96" s="1"/>
  <c r="O14" i="96"/>
  <c r="R14" i="96" s="1"/>
  <c r="O15" i="96"/>
  <c r="R15" i="96" s="1"/>
  <c r="O16" i="96"/>
  <c r="R16" i="96" s="1"/>
  <c r="O17" i="96"/>
  <c r="S17" i="96" s="1"/>
  <c r="O18" i="96"/>
  <c r="R18" i="96" s="1"/>
  <c r="O19" i="96"/>
  <c r="R19" i="96" s="1"/>
  <c r="O20" i="96"/>
  <c r="R20" i="96" s="1"/>
  <c r="N19" i="96"/>
  <c r="N18" i="96"/>
  <c r="H25" i="96"/>
  <c r="V17" i="96" l="1"/>
  <c r="R17" i="96"/>
  <c r="S20" i="96"/>
  <c r="V20" i="96" s="1"/>
  <c r="S16" i="96"/>
  <c r="V16" i="96" s="1"/>
  <c r="S19" i="96"/>
  <c r="V19" i="96" s="1"/>
  <c r="S15" i="96"/>
  <c r="V15" i="96" s="1"/>
  <c r="S18" i="96"/>
  <c r="V18" i="96" s="1"/>
  <c r="S14" i="96"/>
  <c r="V14" i="96" s="1"/>
  <c r="J18" i="96"/>
  <c r="J19" i="96"/>
  <c r="G21" i="96"/>
  <c r="F18" i="96"/>
  <c r="F19" i="96"/>
  <c r="E24" i="138"/>
  <c r="E23" i="138"/>
  <c r="E22" i="138"/>
  <c r="E21" i="138"/>
  <c r="E20" i="138"/>
  <c r="E19" i="138"/>
  <c r="E18" i="138"/>
  <c r="E17" i="138"/>
  <c r="D18" i="138"/>
  <c r="D17" i="138"/>
  <c r="E24" i="143"/>
  <c r="E23" i="143"/>
  <c r="E22" i="143"/>
  <c r="E21" i="143"/>
  <c r="E20" i="143"/>
  <c r="E19" i="143"/>
  <c r="E18" i="143"/>
  <c r="E17" i="143"/>
  <c r="D18" i="143"/>
  <c r="D17" i="143"/>
  <c r="C21" i="96"/>
  <c r="K25" i="67" l="1"/>
  <c r="L13" i="67"/>
  <c r="L14" i="67"/>
  <c r="L15" i="67"/>
  <c r="L16" i="67"/>
  <c r="L17" i="67"/>
  <c r="L18" i="67"/>
  <c r="L19" i="67"/>
  <c r="L20" i="67"/>
  <c r="L21" i="67"/>
  <c r="L22" i="67"/>
  <c r="L23" i="67"/>
  <c r="L24" i="67"/>
  <c r="L12" i="67"/>
  <c r="K24" i="4"/>
  <c r="M11" i="4"/>
  <c r="M12" i="4"/>
  <c r="M13" i="4"/>
  <c r="M14" i="4"/>
  <c r="M15" i="4"/>
  <c r="M16" i="4"/>
  <c r="M17" i="4"/>
  <c r="M18" i="4"/>
  <c r="M19" i="4"/>
  <c r="M20" i="4"/>
  <c r="M21" i="4"/>
  <c r="M22" i="4"/>
  <c r="M23" i="4"/>
  <c r="Q23" i="98" l="1"/>
  <c r="T18" i="98"/>
  <c r="T17" i="98"/>
  <c r="P23" i="98"/>
  <c r="S18" i="98"/>
  <c r="S17" i="98"/>
  <c r="L23" i="98"/>
  <c r="M23" i="98"/>
  <c r="N23" i="98"/>
  <c r="O23" i="98"/>
  <c r="R18" i="98"/>
  <c r="U18" i="98" s="1"/>
  <c r="R17" i="98"/>
  <c r="H23" i="98"/>
  <c r="G23" i="98"/>
  <c r="C23" i="98"/>
  <c r="F23" i="98"/>
  <c r="D23" i="98"/>
  <c r="E23" i="98"/>
  <c r="I22" i="98"/>
  <c r="J22" i="98"/>
  <c r="K22" i="98"/>
  <c r="K13" i="98"/>
  <c r="I13" i="98"/>
  <c r="K18" i="98"/>
  <c r="K17" i="98"/>
  <c r="J18" i="98"/>
  <c r="J17" i="98"/>
  <c r="I18" i="98"/>
  <c r="I17" i="98"/>
  <c r="D11" i="143"/>
  <c r="D11" i="138"/>
  <c r="W17" i="98" l="1"/>
  <c r="V18" i="98"/>
  <c r="U17" i="98"/>
  <c r="V17" i="98"/>
  <c r="W18" i="98"/>
  <c r="E14" i="133"/>
  <c r="D14" i="133"/>
  <c r="L18" i="89"/>
  <c r="L22" i="89"/>
  <c r="L21" i="89"/>
  <c r="L25" i="89"/>
  <c r="L24" i="89"/>
  <c r="L23" i="89"/>
  <c r="L20" i="89"/>
  <c r="L17" i="89"/>
  <c r="L13" i="89"/>
  <c r="L22" i="88"/>
  <c r="M22" i="88" s="1"/>
  <c r="L19" i="88"/>
  <c r="M19" i="88" s="1"/>
  <c r="L16" i="88"/>
  <c r="L12" i="88"/>
  <c r="M12" i="88" s="1"/>
  <c r="W26" i="89"/>
  <c r="X26" i="89"/>
  <c r="M13" i="88"/>
  <c r="M14" i="88"/>
  <c r="M15" i="88"/>
  <c r="M16" i="88"/>
  <c r="M17" i="88"/>
  <c r="M18" i="88"/>
  <c r="M20" i="88"/>
  <c r="M21" i="88"/>
  <c r="M23" i="88"/>
  <c r="M24" i="88"/>
  <c r="K17" i="7"/>
  <c r="K13" i="7"/>
  <c r="K14" i="7"/>
  <c r="K15" i="7"/>
  <c r="K16" i="7"/>
  <c r="K18" i="7"/>
  <c r="K19" i="7"/>
  <c r="K20" i="7"/>
  <c r="K21" i="7"/>
  <c r="K22" i="7"/>
  <c r="K23" i="7"/>
  <c r="K24" i="7"/>
  <c r="K12" i="7"/>
  <c r="H12" i="7"/>
  <c r="D25" i="7"/>
  <c r="C25" i="7"/>
  <c r="E13" i="7"/>
  <c r="E14" i="7"/>
  <c r="E15" i="7"/>
  <c r="E16" i="7"/>
  <c r="E17" i="7"/>
  <c r="E18" i="7"/>
  <c r="E19" i="7"/>
  <c r="E20" i="7"/>
  <c r="E21" i="7"/>
  <c r="E22" i="7"/>
  <c r="E23" i="7"/>
  <c r="E24" i="7"/>
  <c r="E12" i="7"/>
  <c r="L25" i="88" l="1"/>
  <c r="M25" i="88"/>
  <c r="E25" i="7"/>
  <c r="F11" i="152" l="1"/>
  <c r="F12" i="152"/>
  <c r="F13" i="152"/>
  <c r="F14" i="152"/>
  <c r="F15" i="152"/>
  <c r="F16" i="152"/>
  <c r="F17" i="152"/>
  <c r="F18" i="152"/>
  <c r="F19" i="152"/>
  <c r="F20" i="152"/>
  <c r="F21" i="152"/>
  <c r="F22" i="152"/>
  <c r="F10" i="152"/>
  <c r="D28" i="138" l="1"/>
  <c r="E26" i="138"/>
  <c r="E25" i="138"/>
  <c r="D13" i="138"/>
  <c r="E6" i="138"/>
  <c r="D6" i="138"/>
  <c r="D28" i="143"/>
  <c r="D27" i="143"/>
  <c r="E26" i="143"/>
  <c r="E25" i="143"/>
  <c r="D13" i="143"/>
  <c r="D12" i="143"/>
  <c r="E6" i="143"/>
  <c r="D6" i="143"/>
  <c r="E5" i="143"/>
  <c r="D5" i="143"/>
  <c r="D23" i="159" l="1"/>
  <c r="E23" i="159"/>
  <c r="F23" i="159"/>
  <c r="G23" i="159"/>
  <c r="H23" i="159"/>
  <c r="I23" i="159"/>
  <c r="J23" i="159"/>
  <c r="K23" i="159"/>
  <c r="C23" i="159"/>
  <c r="L12" i="47" l="1"/>
  <c r="L13" i="47"/>
  <c r="L14" i="47"/>
  <c r="L15" i="47"/>
  <c r="L16" i="47"/>
  <c r="L17" i="47"/>
  <c r="L18" i="47"/>
  <c r="L19" i="47"/>
  <c r="L20" i="47"/>
  <c r="L21" i="47"/>
  <c r="L22" i="47"/>
  <c r="L23" i="47"/>
  <c r="L11" i="47"/>
  <c r="L11" i="60"/>
  <c r="L12" i="60"/>
  <c r="L13" i="60"/>
  <c r="L14" i="60"/>
  <c r="L15" i="60"/>
  <c r="L16" i="60"/>
  <c r="L17" i="60"/>
  <c r="L18" i="60"/>
  <c r="L19" i="60"/>
  <c r="L20" i="60"/>
  <c r="L21" i="60"/>
  <c r="L22" i="60"/>
  <c r="H23" i="60"/>
  <c r="I23" i="60"/>
  <c r="J23" i="60"/>
  <c r="K23" i="60"/>
  <c r="I24" i="4"/>
  <c r="Q11" i="60"/>
  <c r="Q12" i="60"/>
  <c r="Q13" i="60"/>
  <c r="Q14" i="60"/>
  <c r="Q15" i="60"/>
  <c r="Q16" i="60"/>
  <c r="Q17" i="60"/>
  <c r="Q18" i="60"/>
  <c r="Q19" i="60"/>
  <c r="Q20" i="60"/>
  <c r="Q21" i="60"/>
  <c r="Q22" i="60"/>
  <c r="L24" i="1"/>
  <c r="H24" i="1"/>
  <c r="I24" i="1"/>
  <c r="J24" i="1"/>
  <c r="K24" i="1"/>
  <c r="P25" i="142"/>
  <c r="O25" i="142"/>
  <c r="N25" i="142"/>
  <c r="P25" i="101"/>
  <c r="O25" i="101"/>
  <c r="N25" i="101"/>
  <c r="G16" i="14"/>
  <c r="M28" i="4" l="1"/>
  <c r="D27" i="138" l="1"/>
  <c r="D12" i="138"/>
  <c r="E5" i="138"/>
  <c r="D5" i="138"/>
  <c r="D15" i="138" l="1"/>
  <c r="Q23" i="29"/>
  <c r="H21" i="28"/>
  <c r="I21" i="28" s="1"/>
  <c r="G21" i="28"/>
  <c r="G20" i="28"/>
  <c r="H20" i="28" s="1"/>
  <c r="I20" i="28" s="1"/>
  <c r="H19" i="28"/>
  <c r="I19" i="28" s="1"/>
  <c r="G19" i="28"/>
  <c r="G18" i="28"/>
  <c r="H18" i="28" s="1"/>
  <c r="I18" i="28" s="1"/>
  <c r="H17" i="28"/>
  <c r="I17" i="28" s="1"/>
  <c r="G17" i="28"/>
  <c r="G16" i="28"/>
  <c r="H16" i="28" s="1"/>
  <c r="I16" i="28" s="1"/>
  <c r="H15" i="28"/>
  <c r="I15" i="28" s="1"/>
  <c r="G15" i="28"/>
  <c r="G14" i="28"/>
  <c r="H14" i="28" s="1"/>
  <c r="I14" i="28" s="1"/>
  <c r="H13" i="28"/>
  <c r="I13" i="28" s="1"/>
  <c r="G13" i="28"/>
  <c r="G12" i="28"/>
  <c r="H12" i="28" s="1"/>
  <c r="I12" i="28" s="1"/>
  <c r="H11" i="28"/>
  <c r="I11" i="28" s="1"/>
  <c r="G11" i="28"/>
  <c r="G10" i="28"/>
  <c r="H10" i="28" s="1"/>
  <c r="I10" i="28" s="1"/>
  <c r="D22" i="153"/>
  <c r="E22" i="153"/>
  <c r="F22" i="153"/>
  <c r="G22" i="153"/>
  <c r="J10" i="28" l="1"/>
  <c r="J11" i="28"/>
  <c r="J12" i="28"/>
  <c r="J13" i="28"/>
  <c r="J14" i="28"/>
  <c r="J15" i="28"/>
  <c r="J16" i="28"/>
  <c r="J17" i="28"/>
  <c r="J18" i="28"/>
  <c r="J19" i="28"/>
  <c r="J20" i="28"/>
  <c r="J21" i="28"/>
  <c r="G23" i="5"/>
  <c r="C22" i="153" l="1"/>
  <c r="F26" i="89"/>
  <c r="H26" i="89"/>
  <c r="I26" i="89"/>
  <c r="K26" i="89"/>
  <c r="L26" i="89"/>
  <c r="N26" i="89"/>
  <c r="O26" i="89"/>
  <c r="F25" i="88"/>
  <c r="H25" i="88"/>
  <c r="I25" i="88"/>
  <c r="K25" i="88"/>
  <c r="N25" i="88"/>
  <c r="O25" i="88"/>
  <c r="P24" i="88"/>
  <c r="P23" i="88"/>
  <c r="P22" i="88"/>
  <c r="P21" i="88"/>
  <c r="P20" i="88"/>
  <c r="P19" i="88"/>
  <c r="P18" i="88"/>
  <c r="P17" i="88"/>
  <c r="P16" i="88"/>
  <c r="P15" i="88"/>
  <c r="P14" i="88"/>
  <c r="P13" i="88"/>
  <c r="P12" i="88"/>
  <c r="J24" i="88"/>
  <c r="J23" i="88"/>
  <c r="J22" i="88"/>
  <c r="J21" i="88"/>
  <c r="J20" i="88"/>
  <c r="J19" i="88"/>
  <c r="J18" i="88"/>
  <c r="J17" i="88"/>
  <c r="J16" i="88"/>
  <c r="J15" i="88"/>
  <c r="J14" i="88"/>
  <c r="J13" i="88"/>
  <c r="J12" i="88"/>
  <c r="G24" i="88"/>
  <c r="G23" i="88"/>
  <c r="G22" i="88"/>
  <c r="G21" i="88"/>
  <c r="G20" i="88"/>
  <c r="G19" i="88"/>
  <c r="G18" i="88"/>
  <c r="G17" i="88"/>
  <c r="G16" i="88"/>
  <c r="G15" i="88"/>
  <c r="G14" i="88"/>
  <c r="G13" i="88"/>
  <c r="G12" i="88"/>
  <c r="E23" i="152"/>
  <c r="P25" i="88" l="1"/>
  <c r="G25" i="88"/>
  <c r="J25" i="88"/>
  <c r="D23" i="152"/>
  <c r="F23" i="152"/>
  <c r="G23" i="152"/>
  <c r="C23" i="152"/>
  <c r="J25" i="67" l="1"/>
  <c r="L25" i="67" s="1"/>
  <c r="I25" i="67" l="1"/>
  <c r="J24" i="4" l="1"/>
  <c r="M24" i="4" s="1"/>
  <c r="F25" i="142" l="1"/>
  <c r="G25" i="142"/>
  <c r="H25" i="142"/>
  <c r="I25" i="142"/>
  <c r="J25" i="142"/>
  <c r="D49" i="56" l="1"/>
  <c r="G49" i="56"/>
  <c r="E30" i="138"/>
  <c r="G22" i="58" l="1"/>
  <c r="O23" i="146" l="1"/>
  <c r="K23" i="146"/>
  <c r="G23" i="146"/>
  <c r="C23" i="146"/>
  <c r="P22" i="146"/>
  <c r="R22" i="146" s="1"/>
  <c r="L22" i="146"/>
  <c r="N22" i="146" s="1"/>
  <c r="H22" i="146"/>
  <c r="J22" i="146" s="1"/>
  <c r="D22" i="146"/>
  <c r="F22" i="146" s="1"/>
  <c r="S22" i="146" s="1"/>
  <c r="P21" i="146"/>
  <c r="R21" i="146" s="1"/>
  <c r="L21" i="146"/>
  <c r="N21" i="146" s="1"/>
  <c r="H21" i="146"/>
  <c r="J21" i="146" s="1"/>
  <c r="D21" i="146"/>
  <c r="F21" i="146" s="1"/>
  <c r="P20" i="146"/>
  <c r="R20" i="146" s="1"/>
  <c r="L20" i="146"/>
  <c r="N20" i="146" s="1"/>
  <c r="H20" i="146"/>
  <c r="J20" i="146" s="1"/>
  <c r="D20" i="146"/>
  <c r="F20" i="146" s="1"/>
  <c r="P19" i="146"/>
  <c r="R19" i="146" s="1"/>
  <c r="L19" i="146"/>
  <c r="N19" i="146" s="1"/>
  <c r="J19" i="146"/>
  <c r="D19" i="146"/>
  <c r="F19" i="146" s="1"/>
  <c r="P18" i="146"/>
  <c r="R18" i="146" s="1"/>
  <c r="L18" i="146"/>
  <c r="N18" i="146" s="1"/>
  <c r="H18" i="146"/>
  <c r="J18" i="146" s="1"/>
  <c r="D18" i="146"/>
  <c r="F18" i="146" s="1"/>
  <c r="P17" i="146"/>
  <c r="R17" i="146" s="1"/>
  <c r="L17" i="146"/>
  <c r="N17" i="146" s="1"/>
  <c r="H17" i="146"/>
  <c r="J17" i="146" s="1"/>
  <c r="F17" i="146"/>
  <c r="D17" i="146"/>
  <c r="P16" i="146"/>
  <c r="R16" i="146" s="1"/>
  <c r="L16" i="146"/>
  <c r="N16" i="146" s="1"/>
  <c r="H16" i="146"/>
  <c r="J16" i="146" s="1"/>
  <c r="D16" i="146"/>
  <c r="F16" i="146" s="1"/>
  <c r="R15" i="146"/>
  <c r="P15" i="146"/>
  <c r="L15" i="146"/>
  <c r="N15" i="146" s="1"/>
  <c r="H15" i="146"/>
  <c r="J15" i="146" s="1"/>
  <c r="D15" i="146"/>
  <c r="F15" i="146" s="1"/>
  <c r="P14" i="146"/>
  <c r="R14" i="146" s="1"/>
  <c r="L14" i="146"/>
  <c r="N14" i="146" s="1"/>
  <c r="J14" i="146"/>
  <c r="H14" i="146"/>
  <c r="D14" i="146"/>
  <c r="F14" i="146" s="1"/>
  <c r="P13" i="146"/>
  <c r="R13" i="146" s="1"/>
  <c r="N13" i="146"/>
  <c r="L13" i="146"/>
  <c r="H13" i="146"/>
  <c r="J13" i="146" s="1"/>
  <c r="F13" i="146"/>
  <c r="S13" i="146" s="1"/>
  <c r="D13" i="146"/>
  <c r="P12" i="146"/>
  <c r="R12" i="146" s="1"/>
  <c r="L12" i="146"/>
  <c r="N12" i="146" s="1"/>
  <c r="H12" i="146"/>
  <c r="J12" i="146" s="1"/>
  <c r="D12" i="146"/>
  <c r="F12" i="146" s="1"/>
  <c r="P11" i="146"/>
  <c r="R11" i="146" s="1"/>
  <c r="L11" i="146"/>
  <c r="N11" i="146" s="1"/>
  <c r="H11" i="146"/>
  <c r="J11" i="146" s="1"/>
  <c r="D11" i="146"/>
  <c r="F11" i="146" s="1"/>
  <c r="P10" i="146"/>
  <c r="P23" i="146" s="1"/>
  <c r="L10" i="146"/>
  <c r="N10" i="146" s="1"/>
  <c r="H10" i="146"/>
  <c r="J10" i="146" s="1"/>
  <c r="D10" i="146"/>
  <c r="D23" i="146" s="1"/>
  <c r="F29" i="145"/>
  <c r="D28" i="145"/>
  <c r="F28" i="145" s="1"/>
  <c r="D27" i="145"/>
  <c r="F27" i="145" s="1"/>
  <c r="E26" i="145"/>
  <c r="F26" i="145" s="1"/>
  <c r="E25" i="145"/>
  <c r="F25" i="145" s="1"/>
  <c r="F24" i="145"/>
  <c r="E24" i="145"/>
  <c r="E23" i="145"/>
  <c r="F23" i="145" s="1"/>
  <c r="F22" i="145"/>
  <c r="E22" i="145"/>
  <c r="E21" i="145"/>
  <c r="F21" i="145" s="1"/>
  <c r="F20" i="145"/>
  <c r="E20" i="145"/>
  <c r="E19" i="145"/>
  <c r="F19" i="145" s="1"/>
  <c r="E18" i="145"/>
  <c r="D18" i="145"/>
  <c r="F18" i="145" s="1"/>
  <c r="E17" i="145"/>
  <c r="D17" i="145"/>
  <c r="F17" i="145" s="1"/>
  <c r="F14" i="145"/>
  <c r="D13" i="145"/>
  <c r="F13" i="145" s="1"/>
  <c r="D12" i="145"/>
  <c r="F12" i="145" s="1"/>
  <c r="D11" i="145"/>
  <c r="F11" i="145" s="1"/>
  <c r="D10" i="145"/>
  <c r="F10" i="145" s="1"/>
  <c r="D8" i="145"/>
  <c r="F8" i="145" s="1"/>
  <c r="F7" i="145"/>
  <c r="E6" i="145"/>
  <c r="D6" i="145"/>
  <c r="D16" i="145" s="1"/>
  <c r="F16" i="145" s="1"/>
  <c r="E5" i="145"/>
  <c r="E30" i="145" s="1"/>
  <c r="D5" i="145"/>
  <c r="N23" i="146" l="1"/>
  <c r="S15" i="146"/>
  <c r="S17" i="146"/>
  <c r="J23" i="146"/>
  <c r="S12" i="146"/>
  <c r="S16" i="146"/>
  <c r="S21" i="146"/>
  <c r="S11" i="146"/>
  <c r="S14" i="146"/>
  <c r="S18" i="146"/>
  <c r="S19" i="146"/>
  <c r="S20" i="146"/>
  <c r="H23" i="146"/>
  <c r="R10" i="146"/>
  <c r="R23" i="146" s="1"/>
  <c r="L23" i="146"/>
  <c r="F10" i="146"/>
  <c r="F5" i="145"/>
  <c r="D15" i="145"/>
  <c r="F15" i="145" s="1"/>
  <c r="F6" i="145"/>
  <c r="D24" i="84"/>
  <c r="C24" i="84"/>
  <c r="F24" i="84"/>
  <c r="G24" i="84"/>
  <c r="H24" i="84"/>
  <c r="I24" i="84"/>
  <c r="L10" i="65"/>
  <c r="L11" i="65"/>
  <c r="L12" i="65"/>
  <c r="L13" i="65"/>
  <c r="L14" i="65"/>
  <c r="L15" i="65"/>
  <c r="L16" i="65"/>
  <c r="L17" i="65"/>
  <c r="L18" i="65"/>
  <c r="L19" i="65"/>
  <c r="L20" i="65"/>
  <c r="L21" i="65"/>
  <c r="L22" i="65"/>
  <c r="D30" i="145" l="1"/>
  <c r="F23" i="146"/>
  <c r="S10" i="146"/>
  <c r="S23" i="146" s="1"/>
  <c r="F30" i="145"/>
  <c r="N12" i="75" l="1"/>
  <c r="N13" i="75"/>
  <c r="N14" i="75"/>
  <c r="N15" i="75"/>
  <c r="N16" i="75"/>
  <c r="N17" i="75"/>
  <c r="N18" i="75"/>
  <c r="N19" i="75"/>
  <c r="N20" i="75"/>
  <c r="N21" i="75"/>
  <c r="N22" i="75"/>
  <c r="N23" i="75"/>
  <c r="N11" i="75"/>
  <c r="G12" i="74" l="1"/>
  <c r="G13" i="74"/>
  <c r="G14" i="74"/>
  <c r="G15" i="74"/>
  <c r="G16" i="74"/>
  <c r="G17" i="74"/>
  <c r="G18" i="74"/>
  <c r="G19" i="74"/>
  <c r="G20" i="74"/>
  <c r="G21" i="74"/>
  <c r="G22" i="74"/>
  <c r="G23" i="74"/>
  <c r="G11" i="74"/>
  <c r="G12" i="5"/>
  <c r="G13" i="5"/>
  <c r="G14" i="5"/>
  <c r="G15" i="5"/>
  <c r="G16" i="5"/>
  <c r="G17" i="5"/>
  <c r="G18" i="5"/>
  <c r="G19" i="5"/>
  <c r="G20" i="5"/>
  <c r="G21" i="5"/>
  <c r="G22" i="5"/>
  <c r="G11" i="5"/>
  <c r="X16" i="139"/>
  <c r="Y16" i="139"/>
  <c r="Z16" i="139"/>
  <c r="W16" i="139"/>
  <c r="F28" i="143" l="1"/>
  <c r="F27" i="143"/>
  <c r="F26" i="143"/>
  <c r="F25" i="143"/>
  <c r="F13" i="143"/>
  <c r="F12" i="143"/>
  <c r="F29" i="143"/>
  <c r="F24" i="143"/>
  <c r="F23" i="143"/>
  <c r="F22" i="143"/>
  <c r="F21" i="143"/>
  <c r="F20" i="143"/>
  <c r="F19" i="143"/>
  <c r="F14" i="143"/>
  <c r="F11" i="143"/>
  <c r="D10" i="143"/>
  <c r="F10" i="143" s="1"/>
  <c r="D8" i="143"/>
  <c r="F8" i="143" s="1"/>
  <c r="F7" i="143"/>
  <c r="F26" i="138"/>
  <c r="F25" i="138"/>
  <c r="F24" i="138"/>
  <c r="F23" i="138"/>
  <c r="O24" i="7"/>
  <c r="C24" i="75"/>
  <c r="D24" i="75"/>
  <c r="F24" i="75"/>
  <c r="G24" i="75"/>
  <c r="I24" i="75"/>
  <c r="J24" i="75"/>
  <c r="L24" i="75"/>
  <c r="M24" i="75"/>
  <c r="F25" i="7"/>
  <c r="G25" i="7"/>
  <c r="I25" i="7"/>
  <c r="J25" i="7"/>
  <c r="L25" i="7"/>
  <c r="M25" i="7"/>
  <c r="F18" i="143" l="1"/>
  <c r="F17" i="143"/>
  <c r="E30" i="143"/>
  <c r="F6" i="143"/>
  <c r="D16" i="143"/>
  <c r="F16" i="143" s="1"/>
  <c r="F5" i="143"/>
  <c r="D15" i="143"/>
  <c r="F15" i="143" s="1"/>
  <c r="J12" i="84"/>
  <c r="J13" i="84"/>
  <c r="J14" i="84"/>
  <c r="J15" i="84"/>
  <c r="J16" i="84"/>
  <c r="J17" i="84"/>
  <c r="J18" i="84"/>
  <c r="J19" i="84"/>
  <c r="J20" i="84"/>
  <c r="J21" i="84"/>
  <c r="J22" i="84"/>
  <c r="J23" i="84"/>
  <c r="J11" i="84"/>
  <c r="E24" i="84"/>
  <c r="D10" i="138"/>
  <c r="D30" i="143" l="1"/>
  <c r="F30" i="143"/>
  <c r="G23" i="1"/>
  <c r="G12" i="1"/>
  <c r="G13" i="1"/>
  <c r="G14" i="1"/>
  <c r="G15" i="1"/>
  <c r="G16" i="1"/>
  <c r="M16" i="1" s="1"/>
  <c r="G17" i="1"/>
  <c r="G18" i="1"/>
  <c r="G19" i="1"/>
  <c r="G20" i="1"/>
  <c r="G21" i="1"/>
  <c r="G22" i="1"/>
  <c r="I21" i="72" l="1"/>
  <c r="M21" i="72"/>
  <c r="I15" i="72"/>
  <c r="M15" i="72"/>
  <c r="I16" i="72"/>
  <c r="AF21" i="72"/>
  <c r="Q20" i="89"/>
  <c r="Y20" i="89" s="1"/>
  <c r="N24" i="7"/>
  <c r="N23" i="7"/>
  <c r="N22" i="7"/>
  <c r="N21" i="7"/>
  <c r="N20" i="7"/>
  <c r="N19" i="7"/>
  <c r="N18" i="7"/>
  <c r="N17" i="7"/>
  <c r="N16" i="7"/>
  <c r="N15" i="7"/>
  <c r="N14" i="7"/>
  <c r="N13" i="7"/>
  <c r="N12" i="7"/>
  <c r="N20" i="96"/>
  <c r="N17" i="96"/>
  <c r="N16" i="96"/>
  <c r="N15" i="96"/>
  <c r="N14" i="96"/>
  <c r="N13" i="96"/>
  <c r="J20" i="96"/>
  <c r="J17" i="96"/>
  <c r="J16" i="96"/>
  <c r="J15" i="96"/>
  <c r="J14" i="96"/>
  <c r="J21" i="96" s="1"/>
  <c r="J13" i="96"/>
  <c r="F14" i="96"/>
  <c r="F15" i="96"/>
  <c r="F16" i="96"/>
  <c r="F17" i="96"/>
  <c r="F20" i="96"/>
  <c r="F13" i="96"/>
  <c r="I23" i="129"/>
  <c r="L23" i="129"/>
  <c r="J23" i="129"/>
  <c r="H10" i="129"/>
  <c r="H11" i="129"/>
  <c r="H12" i="129"/>
  <c r="H13" i="129"/>
  <c r="H14" i="129"/>
  <c r="H19" i="129"/>
  <c r="H22" i="130"/>
  <c r="G10" i="29"/>
  <c r="G48" i="56"/>
  <c r="D48" i="56"/>
  <c r="G47" i="56"/>
  <c r="G46" i="56"/>
  <c r="G45" i="56"/>
  <c r="G44" i="56"/>
  <c r="G43" i="56"/>
  <c r="D44" i="56"/>
  <c r="D45" i="56"/>
  <c r="D46" i="56"/>
  <c r="D47" i="56"/>
  <c r="D43" i="56"/>
  <c r="G11" i="81"/>
  <c r="G12" i="81"/>
  <c r="G13" i="81"/>
  <c r="G14" i="81"/>
  <c r="G15" i="81"/>
  <c r="G16" i="81"/>
  <c r="G17" i="81"/>
  <c r="G18" i="81"/>
  <c r="G19" i="81"/>
  <c r="G20" i="81"/>
  <c r="G21" i="81"/>
  <c r="G22" i="81"/>
  <c r="G10" i="81"/>
  <c r="C24" i="74"/>
  <c r="C24" i="5"/>
  <c r="M12" i="1"/>
  <c r="M13" i="1"/>
  <c r="M14" i="1"/>
  <c r="M15" i="1"/>
  <c r="M17" i="1"/>
  <c r="M18" i="1"/>
  <c r="M19" i="1"/>
  <c r="M20" i="1"/>
  <c r="M21" i="1"/>
  <c r="M22" i="1"/>
  <c r="M23" i="1"/>
  <c r="F11" i="100"/>
  <c r="F12" i="100"/>
  <c r="F13" i="100"/>
  <c r="F14" i="100"/>
  <c r="F15" i="100"/>
  <c r="F16" i="100"/>
  <c r="F17" i="100"/>
  <c r="F18" i="100"/>
  <c r="F19" i="100"/>
  <c r="F20" i="100"/>
  <c r="F21" i="100"/>
  <c r="F22" i="100"/>
  <c r="F10" i="100"/>
  <c r="C23" i="100"/>
  <c r="Q25" i="142"/>
  <c r="M25" i="142"/>
  <c r="L25" i="142"/>
  <c r="K25" i="142"/>
  <c r="E25" i="142"/>
  <c r="D25" i="142"/>
  <c r="F14" i="135"/>
  <c r="F15" i="135"/>
  <c r="F16" i="135"/>
  <c r="F17" i="135"/>
  <c r="F18" i="135"/>
  <c r="F19" i="135"/>
  <c r="F20" i="135"/>
  <c r="F21" i="135"/>
  <c r="F22" i="135"/>
  <c r="D25" i="59"/>
  <c r="E25" i="59"/>
  <c r="F25" i="59"/>
  <c r="H25" i="59"/>
  <c r="I25" i="59"/>
  <c r="J25" i="59"/>
  <c r="K25" i="59"/>
  <c r="G24" i="59"/>
  <c r="G23" i="59"/>
  <c r="G22" i="59"/>
  <c r="M22" i="59" s="1"/>
  <c r="G21" i="59"/>
  <c r="M21" i="59" s="1"/>
  <c r="G20" i="59"/>
  <c r="G19" i="59"/>
  <c r="G18" i="59"/>
  <c r="M18" i="59" s="1"/>
  <c r="G17" i="59"/>
  <c r="M17" i="59" s="1"/>
  <c r="G16" i="59"/>
  <c r="G15" i="59"/>
  <c r="G14" i="59"/>
  <c r="M14" i="59" s="1"/>
  <c r="G13" i="59"/>
  <c r="M13" i="59" s="1"/>
  <c r="G12" i="59"/>
  <c r="D24" i="58"/>
  <c r="E24" i="58"/>
  <c r="F24" i="58"/>
  <c r="H24" i="58"/>
  <c r="I24" i="58"/>
  <c r="J24" i="58"/>
  <c r="K24" i="58"/>
  <c r="C24" i="58"/>
  <c r="G23" i="58"/>
  <c r="M23" i="58" s="1"/>
  <c r="G21" i="58"/>
  <c r="G20" i="58"/>
  <c r="M20" i="58" s="1"/>
  <c r="G19" i="58"/>
  <c r="M19" i="58" s="1"/>
  <c r="G18" i="58"/>
  <c r="G17" i="58"/>
  <c r="G16" i="58"/>
  <c r="M16" i="58" s="1"/>
  <c r="G15" i="58"/>
  <c r="M15" i="58" s="1"/>
  <c r="G14" i="58"/>
  <c r="G13" i="58"/>
  <c r="G12" i="58"/>
  <c r="M12" i="58" s="1"/>
  <c r="G11" i="58"/>
  <c r="M11" i="58" s="1"/>
  <c r="D24" i="1"/>
  <c r="E24" i="1"/>
  <c r="F24" i="1"/>
  <c r="C24" i="1"/>
  <c r="F12" i="67"/>
  <c r="G12" i="47"/>
  <c r="G13" i="47"/>
  <c r="G14" i="47"/>
  <c r="G15" i="47"/>
  <c r="G16" i="47"/>
  <c r="G17" i="47"/>
  <c r="G18" i="47"/>
  <c r="G19" i="47"/>
  <c r="G20" i="47"/>
  <c r="G21" i="47"/>
  <c r="G22" i="47"/>
  <c r="G23" i="47"/>
  <c r="G11" i="47"/>
  <c r="D8" i="138"/>
  <c r="Q23" i="78"/>
  <c r="R23" i="78"/>
  <c r="S19" i="78"/>
  <c r="S20" i="78"/>
  <c r="S21" i="78"/>
  <c r="S22" i="78"/>
  <c r="G23" i="78"/>
  <c r="H23" i="78"/>
  <c r="I23" i="78"/>
  <c r="J23" i="78"/>
  <c r="K23" i="78"/>
  <c r="L23" i="78"/>
  <c r="M23" i="78"/>
  <c r="N23" i="78"/>
  <c r="O23" i="78"/>
  <c r="P23" i="78"/>
  <c r="N10" i="72"/>
  <c r="F23" i="78"/>
  <c r="T22" i="98"/>
  <c r="W22" i="98" s="1"/>
  <c r="S22" i="98"/>
  <c r="R22" i="98"/>
  <c r="T21" i="98"/>
  <c r="S21" i="98"/>
  <c r="R21" i="98"/>
  <c r="T19" i="98"/>
  <c r="S19" i="98"/>
  <c r="R19" i="98"/>
  <c r="T16" i="98"/>
  <c r="S16" i="98"/>
  <c r="R16" i="98"/>
  <c r="T15" i="98"/>
  <c r="S15" i="98"/>
  <c r="R15" i="98"/>
  <c r="T14" i="98"/>
  <c r="S14" i="98"/>
  <c r="R14" i="98"/>
  <c r="T13" i="98"/>
  <c r="S13" i="98"/>
  <c r="R13" i="98"/>
  <c r="T12" i="98"/>
  <c r="S12" i="98"/>
  <c r="S23" i="98" s="1"/>
  <c r="R12" i="98"/>
  <c r="R23" i="98" s="1"/>
  <c r="K21" i="98"/>
  <c r="J21" i="98"/>
  <c r="I21" i="98"/>
  <c r="J13" i="98"/>
  <c r="I14" i="98"/>
  <c r="J14" i="98"/>
  <c r="K14" i="98"/>
  <c r="I15" i="98"/>
  <c r="J15" i="98"/>
  <c r="K15" i="98"/>
  <c r="I16" i="98"/>
  <c r="J16" i="98"/>
  <c r="K16" i="98"/>
  <c r="I19" i="98"/>
  <c r="J19" i="98"/>
  <c r="K19" i="98"/>
  <c r="J12" i="98"/>
  <c r="K12" i="98"/>
  <c r="I12" i="98"/>
  <c r="I23" i="98" s="1"/>
  <c r="F11" i="135"/>
  <c r="F12" i="135"/>
  <c r="F13" i="135"/>
  <c r="F10" i="135"/>
  <c r="M23" i="129"/>
  <c r="N23" i="129"/>
  <c r="D23" i="129"/>
  <c r="E23" i="129"/>
  <c r="G23" i="129"/>
  <c r="G25" i="14"/>
  <c r="G26" i="14" s="1"/>
  <c r="D26" i="89"/>
  <c r="E26" i="89"/>
  <c r="C26" i="89"/>
  <c r="D25" i="88"/>
  <c r="E25" i="88"/>
  <c r="C25" i="88"/>
  <c r="F14" i="138"/>
  <c r="F20" i="138"/>
  <c r="F19" i="138"/>
  <c r="F21" i="138"/>
  <c r="F22" i="138"/>
  <c r="F29" i="138"/>
  <c r="F28" i="138"/>
  <c r="F27" i="138"/>
  <c r="F18" i="138"/>
  <c r="F17" i="138"/>
  <c r="F12" i="138"/>
  <c r="F11" i="138"/>
  <c r="F10" i="138"/>
  <c r="F8" i="138"/>
  <c r="F7" i="138"/>
  <c r="F6" i="138"/>
  <c r="D16" i="138"/>
  <c r="F16" i="138" s="1"/>
  <c r="F13" i="138"/>
  <c r="F5" i="138"/>
  <c r="F16" i="129"/>
  <c r="H16" i="129" s="1"/>
  <c r="H23" i="129" s="1"/>
  <c r="J16" i="81"/>
  <c r="J15" i="81"/>
  <c r="J13" i="62"/>
  <c r="O13" i="75"/>
  <c r="O14" i="75"/>
  <c r="O15" i="75"/>
  <c r="O16" i="75"/>
  <c r="O17" i="75"/>
  <c r="O18" i="75"/>
  <c r="O19" i="75"/>
  <c r="O20" i="75"/>
  <c r="O21" i="75"/>
  <c r="O22" i="75"/>
  <c r="O23" i="75"/>
  <c r="O12" i="75"/>
  <c r="O11" i="75"/>
  <c r="H11" i="72"/>
  <c r="H12" i="72"/>
  <c r="H13" i="72"/>
  <c r="H14" i="72"/>
  <c r="H15" i="72"/>
  <c r="H16" i="72"/>
  <c r="H17" i="72"/>
  <c r="H18" i="72"/>
  <c r="H19" i="72"/>
  <c r="H20" i="72"/>
  <c r="H21" i="72"/>
  <c r="H22" i="72"/>
  <c r="H10" i="72"/>
  <c r="D22" i="130"/>
  <c r="F22" i="130"/>
  <c r="G22" i="130"/>
  <c r="I22" i="130"/>
  <c r="J22" i="130"/>
  <c r="K22" i="130"/>
  <c r="L22" i="130"/>
  <c r="C22" i="130"/>
  <c r="D23" i="78"/>
  <c r="C23" i="78"/>
  <c r="S11" i="78"/>
  <c r="S12" i="78"/>
  <c r="S13" i="78"/>
  <c r="S14" i="78"/>
  <c r="S15" i="78"/>
  <c r="S16" i="78"/>
  <c r="S17" i="78"/>
  <c r="S18" i="78"/>
  <c r="S10" i="78"/>
  <c r="F13" i="62"/>
  <c r="F14" i="62"/>
  <c r="F15" i="62"/>
  <c r="F16" i="62"/>
  <c r="F17" i="62"/>
  <c r="F18" i="62"/>
  <c r="F19" i="62"/>
  <c r="F20" i="62"/>
  <c r="F21" i="62"/>
  <c r="F22" i="62"/>
  <c r="F23" i="62"/>
  <c r="F24" i="62"/>
  <c r="F12" i="62"/>
  <c r="D23" i="135"/>
  <c r="E23" i="135"/>
  <c r="G23" i="135"/>
  <c r="C23" i="135"/>
  <c r="U21" i="88"/>
  <c r="V21" i="88" s="1"/>
  <c r="G10" i="60"/>
  <c r="G11" i="60"/>
  <c r="G12" i="60"/>
  <c r="G13" i="60"/>
  <c r="G14" i="60"/>
  <c r="G15" i="60"/>
  <c r="G16" i="60"/>
  <c r="G17" i="60"/>
  <c r="G18" i="60"/>
  <c r="G19" i="60"/>
  <c r="G20" i="60"/>
  <c r="G21" i="60"/>
  <c r="G22" i="60"/>
  <c r="L21" i="96"/>
  <c r="E21" i="96"/>
  <c r="F25" i="14"/>
  <c r="E25" i="14"/>
  <c r="D25" i="14"/>
  <c r="C25" i="14"/>
  <c r="D16" i="14"/>
  <c r="H12" i="14" s="1"/>
  <c r="E16" i="14"/>
  <c r="F16" i="14"/>
  <c r="C16" i="14"/>
  <c r="C26" i="14" s="1"/>
  <c r="C26" i="132"/>
  <c r="D26" i="132"/>
  <c r="E26" i="132"/>
  <c r="F23" i="66"/>
  <c r="F22" i="66"/>
  <c r="F19" i="66"/>
  <c r="F18" i="66"/>
  <c r="F15" i="66"/>
  <c r="F14" i="66"/>
  <c r="F11" i="66"/>
  <c r="D20" i="66"/>
  <c r="D16" i="66"/>
  <c r="D15" i="66"/>
  <c r="D14" i="66"/>
  <c r="U14" i="89"/>
  <c r="U15" i="89"/>
  <c r="V15" i="89" s="1"/>
  <c r="U16" i="89"/>
  <c r="U17" i="89"/>
  <c r="U18" i="89"/>
  <c r="U19" i="89"/>
  <c r="U20" i="89"/>
  <c r="U21" i="89"/>
  <c r="U22" i="89"/>
  <c r="U23" i="89"/>
  <c r="U24" i="89"/>
  <c r="U25" i="89"/>
  <c r="U13" i="89"/>
  <c r="U13" i="88"/>
  <c r="V13" i="88" s="1"/>
  <c r="U14" i="88"/>
  <c r="U15" i="88"/>
  <c r="U16" i="88"/>
  <c r="V16" i="88" s="1"/>
  <c r="U17" i="88"/>
  <c r="V17" i="88" s="1"/>
  <c r="U18" i="88"/>
  <c r="V18" i="88" s="1"/>
  <c r="U19" i="88"/>
  <c r="V19" i="88" s="1"/>
  <c r="U20" i="88"/>
  <c r="V20" i="88" s="1"/>
  <c r="U22" i="88"/>
  <c r="V22" i="88" s="1"/>
  <c r="U23" i="88"/>
  <c r="V23" i="88" s="1"/>
  <c r="U24" i="88"/>
  <c r="V24" i="88" s="1"/>
  <c r="U12" i="88"/>
  <c r="U25" i="88" s="1"/>
  <c r="R18" i="88"/>
  <c r="P14" i="89"/>
  <c r="P15" i="89"/>
  <c r="P16" i="89"/>
  <c r="P17" i="89"/>
  <c r="P18" i="89"/>
  <c r="P19" i="89"/>
  <c r="P20" i="89"/>
  <c r="P21" i="89"/>
  <c r="P22" i="89"/>
  <c r="P23" i="89"/>
  <c r="P24" i="89"/>
  <c r="P25" i="89"/>
  <c r="P13" i="89"/>
  <c r="D24" i="74"/>
  <c r="E24" i="74"/>
  <c r="F24" i="74"/>
  <c r="D24" i="5"/>
  <c r="G24" i="5" s="1"/>
  <c r="E24" i="5"/>
  <c r="F24" i="5"/>
  <c r="V14" i="89"/>
  <c r="V16" i="89"/>
  <c r="V17" i="89"/>
  <c r="V18" i="89"/>
  <c r="V19" i="89"/>
  <c r="V20" i="89"/>
  <c r="V21" i="89"/>
  <c r="V22" i="89"/>
  <c r="V23" i="89"/>
  <c r="V24" i="89"/>
  <c r="V25" i="89"/>
  <c r="V13" i="89"/>
  <c r="U26" i="89"/>
  <c r="V15" i="88"/>
  <c r="K23" i="129"/>
  <c r="C23" i="129"/>
  <c r="H23" i="65"/>
  <c r="G23" i="65"/>
  <c r="D23" i="65"/>
  <c r="F12" i="66"/>
  <c r="F13" i="66"/>
  <c r="F16" i="66"/>
  <c r="F17" i="66"/>
  <c r="F20" i="66"/>
  <c r="F21" i="66"/>
  <c r="D12" i="66"/>
  <c r="D13" i="66"/>
  <c r="D17" i="66"/>
  <c r="D18" i="66"/>
  <c r="D19" i="66"/>
  <c r="D21" i="66"/>
  <c r="D22" i="66"/>
  <c r="D23" i="66"/>
  <c r="D11" i="66"/>
  <c r="AF11" i="72"/>
  <c r="AF12" i="72"/>
  <c r="AF13" i="72"/>
  <c r="AF14" i="72"/>
  <c r="AF15" i="72"/>
  <c r="AF16" i="72"/>
  <c r="AF17" i="72"/>
  <c r="AF18" i="72"/>
  <c r="AF19" i="72"/>
  <c r="AF20" i="72"/>
  <c r="AF22" i="72"/>
  <c r="AF10" i="72"/>
  <c r="Z11" i="72"/>
  <c r="Z12" i="72"/>
  <c r="Z13" i="72"/>
  <c r="Z14" i="72"/>
  <c r="Z15" i="72"/>
  <c r="Z16" i="72"/>
  <c r="Z17" i="72"/>
  <c r="Z18" i="72"/>
  <c r="Z10" i="72"/>
  <c r="T11" i="72"/>
  <c r="T12" i="72"/>
  <c r="T13" i="72"/>
  <c r="T14" i="72"/>
  <c r="T15" i="72"/>
  <c r="T16" i="72"/>
  <c r="T17" i="72"/>
  <c r="T18" i="72"/>
  <c r="T19" i="72"/>
  <c r="T20" i="72"/>
  <c r="T21" i="72"/>
  <c r="T22" i="72"/>
  <c r="T10" i="72"/>
  <c r="N11" i="72"/>
  <c r="N12" i="72"/>
  <c r="N13" i="72"/>
  <c r="N14" i="72"/>
  <c r="N15" i="72"/>
  <c r="N16" i="72"/>
  <c r="N17" i="72"/>
  <c r="N18" i="72"/>
  <c r="N19" i="72"/>
  <c r="N20" i="72"/>
  <c r="N21" i="72"/>
  <c r="N22" i="72"/>
  <c r="E23" i="123"/>
  <c r="F23" i="123"/>
  <c r="G23" i="123"/>
  <c r="H23" i="123"/>
  <c r="I23" i="123"/>
  <c r="J23" i="123"/>
  <c r="K23" i="123"/>
  <c r="D23" i="123"/>
  <c r="C23" i="123"/>
  <c r="F26" i="14"/>
  <c r="U22" i="98"/>
  <c r="W21" i="98"/>
  <c r="V21" i="98"/>
  <c r="W19" i="98"/>
  <c r="V19" i="98"/>
  <c r="U19" i="98"/>
  <c r="V16" i="98"/>
  <c r="U16" i="98"/>
  <c r="W16" i="98"/>
  <c r="U15" i="98"/>
  <c r="V15" i="98"/>
  <c r="U14" i="98"/>
  <c r="W14" i="98"/>
  <c r="V13" i="98"/>
  <c r="O12" i="7"/>
  <c r="O13" i="7"/>
  <c r="N24" i="96"/>
  <c r="N23" i="96"/>
  <c r="N25" i="96" s="1"/>
  <c r="J24" i="96"/>
  <c r="J23" i="96"/>
  <c r="F24" i="96"/>
  <c r="F23" i="96"/>
  <c r="D25" i="96"/>
  <c r="E25" i="96"/>
  <c r="G25" i="96"/>
  <c r="G26" i="96" s="1"/>
  <c r="I25" i="96"/>
  <c r="K25" i="96"/>
  <c r="L25" i="96"/>
  <c r="M25" i="96"/>
  <c r="C25" i="96"/>
  <c r="C26" i="96" s="1"/>
  <c r="H21" i="96"/>
  <c r="I21" i="96"/>
  <c r="K21" i="96"/>
  <c r="M21" i="96"/>
  <c r="D21" i="96"/>
  <c r="D26" i="96" s="1"/>
  <c r="C22" i="28"/>
  <c r="C24" i="27"/>
  <c r="Q12" i="47"/>
  <c r="Q13" i="47"/>
  <c r="Q14" i="47"/>
  <c r="Q15" i="47"/>
  <c r="Q18" i="47"/>
  <c r="Q16" i="47"/>
  <c r="Q17" i="47"/>
  <c r="Q19" i="47"/>
  <c r="Q20" i="47"/>
  <c r="Q21" i="47"/>
  <c r="Q22" i="47"/>
  <c r="Q23" i="47"/>
  <c r="Q11" i="47"/>
  <c r="Q10" i="60"/>
  <c r="G11" i="1"/>
  <c r="G24" i="1" s="1"/>
  <c r="O13" i="96"/>
  <c r="J17" i="89"/>
  <c r="R21" i="89"/>
  <c r="Z21" i="89" s="1"/>
  <c r="R22" i="89"/>
  <c r="Z22" i="89" s="1"/>
  <c r="K24" i="93"/>
  <c r="G24" i="93"/>
  <c r="E24" i="93"/>
  <c r="X22" i="72"/>
  <c r="W20" i="72"/>
  <c r="W21" i="72"/>
  <c r="Z21" i="72" s="1"/>
  <c r="W22" i="72"/>
  <c r="D12" i="112"/>
  <c r="C24" i="93"/>
  <c r="D24" i="93"/>
  <c r="F24" i="93"/>
  <c r="H24" i="93"/>
  <c r="J24" i="93"/>
  <c r="L24" i="93"/>
  <c r="J23" i="102"/>
  <c r="K22" i="102"/>
  <c r="I23" i="102"/>
  <c r="H23" i="102"/>
  <c r="F23" i="102"/>
  <c r="G22" i="102"/>
  <c r="E23" i="102"/>
  <c r="D23" i="102"/>
  <c r="E15" i="102"/>
  <c r="F15" i="102"/>
  <c r="H15" i="102"/>
  <c r="I15" i="102"/>
  <c r="J15" i="102"/>
  <c r="D15" i="102"/>
  <c r="K18" i="102"/>
  <c r="K19" i="102"/>
  <c r="K20" i="102"/>
  <c r="K21" i="102"/>
  <c r="K17" i="102"/>
  <c r="G18" i="102"/>
  <c r="G19" i="102"/>
  <c r="G20" i="102"/>
  <c r="G17" i="102"/>
  <c r="K12" i="102"/>
  <c r="K13" i="102"/>
  <c r="K14" i="102"/>
  <c r="G12" i="102"/>
  <c r="G13" i="102"/>
  <c r="G14" i="102"/>
  <c r="K11" i="102"/>
  <c r="G11" i="102"/>
  <c r="F8" i="112"/>
  <c r="F7" i="112"/>
  <c r="E25" i="101"/>
  <c r="F25" i="101"/>
  <c r="G25" i="101"/>
  <c r="H25" i="101"/>
  <c r="I25" i="101"/>
  <c r="J25" i="101"/>
  <c r="K25" i="101"/>
  <c r="L25" i="101"/>
  <c r="M25" i="101"/>
  <c r="Q25" i="101"/>
  <c r="D25" i="101"/>
  <c r="H13" i="26"/>
  <c r="H14" i="26"/>
  <c r="H15" i="26"/>
  <c r="H16" i="26"/>
  <c r="H17" i="26"/>
  <c r="H18" i="26"/>
  <c r="H19" i="26"/>
  <c r="H20" i="26"/>
  <c r="H21" i="26"/>
  <c r="H22" i="26"/>
  <c r="H23" i="26"/>
  <c r="H24" i="26"/>
  <c r="H12" i="26"/>
  <c r="I12" i="26"/>
  <c r="F13" i="26"/>
  <c r="F14" i="26"/>
  <c r="F15" i="26"/>
  <c r="F16" i="26"/>
  <c r="F17" i="26"/>
  <c r="F18" i="26"/>
  <c r="F19" i="26"/>
  <c r="F20" i="26"/>
  <c r="F21" i="26"/>
  <c r="F22" i="26"/>
  <c r="F23" i="26"/>
  <c r="F24" i="26"/>
  <c r="F12" i="26"/>
  <c r="E25" i="26"/>
  <c r="G25" i="26"/>
  <c r="D13" i="26"/>
  <c r="D14" i="26"/>
  <c r="D15" i="26"/>
  <c r="D16" i="26"/>
  <c r="D17" i="26"/>
  <c r="D18" i="26"/>
  <c r="D19" i="26"/>
  <c r="D20" i="26"/>
  <c r="D21" i="26"/>
  <c r="D22" i="26"/>
  <c r="D23" i="26"/>
  <c r="D24" i="26"/>
  <c r="D12" i="26"/>
  <c r="C25" i="26"/>
  <c r="D18" i="112"/>
  <c r="D17" i="112"/>
  <c r="F17" i="112" s="1"/>
  <c r="F21" i="112"/>
  <c r="F18" i="112"/>
  <c r="F12" i="112"/>
  <c r="F11" i="112"/>
  <c r="F9" i="112"/>
  <c r="F5" i="112"/>
  <c r="G23" i="27"/>
  <c r="H23" i="27" s="1"/>
  <c r="G22" i="27"/>
  <c r="H22" i="27" s="1"/>
  <c r="G21" i="27"/>
  <c r="H21" i="27" s="1"/>
  <c r="G20" i="27"/>
  <c r="H20" i="27" s="1"/>
  <c r="G19" i="27"/>
  <c r="H19" i="27" s="1"/>
  <c r="G18" i="27"/>
  <c r="H18" i="27" s="1"/>
  <c r="G17" i="27"/>
  <c r="H17" i="27" s="1"/>
  <c r="G16" i="27"/>
  <c r="H16" i="27" s="1"/>
  <c r="G15" i="27"/>
  <c r="H15" i="27" s="1"/>
  <c r="G14" i="27"/>
  <c r="H14" i="27" s="1"/>
  <c r="G13" i="27"/>
  <c r="H13" i="27" s="1"/>
  <c r="G12" i="27"/>
  <c r="H12" i="27" s="1"/>
  <c r="I12" i="27" s="1"/>
  <c r="E22" i="28"/>
  <c r="F22" i="28"/>
  <c r="D22" i="28"/>
  <c r="E24" i="27"/>
  <c r="F24" i="27"/>
  <c r="D24" i="27"/>
  <c r="L23" i="65"/>
  <c r="AC23" i="72"/>
  <c r="AD23" i="72"/>
  <c r="AE23" i="72"/>
  <c r="E23" i="65"/>
  <c r="F23" i="65"/>
  <c r="I23" i="65"/>
  <c r="J23" i="65"/>
  <c r="W19" i="72"/>
  <c r="Z19" i="72" s="1"/>
  <c r="X20" i="72"/>
  <c r="Z20" i="72" s="1"/>
  <c r="Y23" i="72"/>
  <c r="U23" i="72"/>
  <c r="D23" i="72"/>
  <c r="E23" i="72"/>
  <c r="F23" i="72"/>
  <c r="G23" i="72"/>
  <c r="L23" i="72"/>
  <c r="O23" i="72"/>
  <c r="P23" i="72"/>
  <c r="Q23" i="72"/>
  <c r="R23" i="72"/>
  <c r="S23" i="72"/>
  <c r="AA23" i="72"/>
  <c r="AB23" i="72"/>
  <c r="C23" i="72"/>
  <c r="G25" i="62"/>
  <c r="H25" i="62"/>
  <c r="I25" i="62"/>
  <c r="K25" i="62"/>
  <c r="L25" i="62"/>
  <c r="M25" i="62"/>
  <c r="N24" i="62"/>
  <c r="J24" i="62"/>
  <c r="N23" i="62"/>
  <c r="J23" i="62"/>
  <c r="N22" i="62"/>
  <c r="J22" i="62"/>
  <c r="N21" i="62"/>
  <c r="J21" i="62"/>
  <c r="N20" i="62"/>
  <c r="J20" i="62"/>
  <c r="N19" i="62"/>
  <c r="J19" i="62"/>
  <c r="N18" i="62"/>
  <c r="J18" i="62"/>
  <c r="N17" i="62"/>
  <c r="J17" i="62"/>
  <c r="N16" i="62"/>
  <c r="J16" i="62"/>
  <c r="N15" i="62"/>
  <c r="J15" i="62"/>
  <c r="N14" i="62"/>
  <c r="J14" i="62"/>
  <c r="N13" i="62"/>
  <c r="Q25" i="62"/>
  <c r="P25" i="62"/>
  <c r="N12" i="62"/>
  <c r="N25" i="62" s="1"/>
  <c r="J12" i="62"/>
  <c r="M14" i="89"/>
  <c r="M15" i="89"/>
  <c r="M16" i="89"/>
  <c r="M17" i="89"/>
  <c r="M18" i="89"/>
  <c r="M19" i="89"/>
  <c r="M20" i="89"/>
  <c r="M21" i="89"/>
  <c r="M22" i="89"/>
  <c r="M23" i="89"/>
  <c r="M24" i="89"/>
  <c r="M25" i="89"/>
  <c r="M13" i="89"/>
  <c r="J14" i="89"/>
  <c r="J15" i="89"/>
  <c r="S15" i="89" s="1"/>
  <c r="J16" i="89"/>
  <c r="J18" i="89"/>
  <c r="S18" i="89" s="1"/>
  <c r="J19" i="89"/>
  <c r="J20" i="89"/>
  <c r="S20" i="89" s="1"/>
  <c r="J21" i="89"/>
  <c r="J23" i="89"/>
  <c r="J24" i="89"/>
  <c r="J25" i="89"/>
  <c r="J13" i="89"/>
  <c r="Q14" i="89"/>
  <c r="Y14" i="89" s="1"/>
  <c r="R14" i="89"/>
  <c r="Z14" i="89" s="1"/>
  <c r="Q15" i="89"/>
  <c r="Y15" i="89" s="1"/>
  <c r="Q16" i="89"/>
  <c r="Y16" i="89" s="1"/>
  <c r="R16" i="89"/>
  <c r="Z16" i="89" s="1"/>
  <c r="Q17" i="89"/>
  <c r="Y17" i="89" s="1"/>
  <c r="Q18" i="89"/>
  <c r="Y18" i="89" s="1"/>
  <c r="R18" i="89"/>
  <c r="Z18" i="89" s="1"/>
  <c r="Q19" i="89"/>
  <c r="Y19" i="89" s="1"/>
  <c r="R20" i="89"/>
  <c r="Z20" i="89" s="1"/>
  <c r="Q21" i="89"/>
  <c r="Y21" i="89" s="1"/>
  <c r="Q22" i="89"/>
  <c r="Y22" i="89" s="1"/>
  <c r="Q23" i="89"/>
  <c r="Y23" i="89" s="1"/>
  <c r="R23" i="89"/>
  <c r="Z23" i="89" s="1"/>
  <c r="Q24" i="89"/>
  <c r="Y24" i="89" s="1"/>
  <c r="R24" i="89"/>
  <c r="Z24" i="89" s="1"/>
  <c r="Q25" i="89"/>
  <c r="Y25" i="89" s="1"/>
  <c r="R13" i="89"/>
  <c r="Z13" i="89" s="1"/>
  <c r="Q13" i="89"/>
  <c r="Y13" i="89" s="1"/>
  <c r="Q13" i="88"/>
  <c r="Q14" i="88"/>
  <c r="R14" i="88"/>
  <c r="Q15" i="88"/>
  <c r="Q16" i="88"/>
  <c r="R16" i="88"/>
  <c r="Q17" i="88"/>
  <c r="Q18" i="88"/>
  <c r="Q19" i="88"/>
  <c r="Q20" i="88"/>
  <c r="R20" i="88"/>
  <c r="Q21" i="88"/>
  <c r="Q22" i="88"/>
  <c r="R22" i="88"/>
  <c r="Q23" i="88"/>
  <c r="Q24" i="88"/>
  <c r="R24" i="88"/>
  <c r="R12" i="88"/>
  <c r="Q12" i="88"/>
  <c r="Q25" i="88" s="1"/>
  <c r="S14" i="88"/>
  <c r="S22" i="88"/>
  <c r="G14" i="89"/>
  <c r="G15" i="89"/>
  <c r="G16" i="89"/>
  <c r="G17" i="89"/>
  <c r="G18" i="89"/>
  <c r="G19" i="89"/>
  <c r="G20" i="89"/>
  <c r="G21" i="89"/>
  <c r="G22" i="89"/>
  <c r="G23" i="89"/>
  <c r="G24" i="89"/>
  <c r="G25" i="89"/>
  <c r="K12" i="75"/>
  <c r="K13" i="75"/>
  <c r="K14" i="75"/>
  <c r="K15" i="75"/>
  <c r="K16" i="75"/>
  <c r="K17" i="75"/>
  <c r="K18" i="75"/>
  <c r="K19" i="75"/>
  <c r="K20" i="75"/>
  <c r="K21" i="75"/>
  <c r="K22" i="75"/>
  <c r="K23" i="75"/>
  <c r="K11" i="75"/>
  <c r="H12" i="75"/>
  <c r="H13" i="75"/>
  <c r="H14" i="75"/>
  <c r="H15" i="75"/>
  <c r="H16" i="75"/>
  <c r="H17" i="75"/>
  <c r="H18" i="75"/>
  <c r="H19" i="75"/>
  <c r="Q19" i="75" s="1"/>
  <c r="H20" i="75"/>
  <c r="H21" i="75"/>
  <c r="H22" i="75"/>
  <c r="H23" i="75"/>
  <c r="H11" i="75"/>
  <c r="E12" i="75"/>
  <c r="E13" i="75"/>
  <c r="E14" i="75"/>
  <c r="E15" i="75"/>
  <c r="E16" i="75"/>
  <c r="E17" i="75"/>
  <c r="E18" i="75"/>
  <c r="E19" i="75"/>
  <c r="E20" i="75"/>
  <c r="E21" i="75"/>
  <c r="E22" i="75"/>
  <c r="E23" i="75"/>
  <c r="E11" i="75"/>
  <c r="P12" i="75"/>
  <c r="P13" i="75"/>
  <c r="P14" i="75"/>
  <c r="P15" i="75"/>
  <c r="P16" i="75"/>
  <c r="P17" i="75"/>
  <c r="P18" i="75"/>
  <c r="P19" i="75"/>
  <c r="P20" i="75"/>
  <c r="P21" i="75"/>
  <c r="P22" i="75"/>
  <c r="P23" i="75"/>
  <c r="P11" i="75"/>
  <c r="C23" i="81"/>
  <c r="D23" i="81"/>
  <c r="E23" i="81"/>
  <c r="F23" i="81"/>
  <c r="P13" i="7"/>
  <c r="O14" i="7"/>
  <c r="P14" i="7"/>
  <c r="O15" i="7"/>
  <c r="P15" i="7"/>
  <c r="O16" i="7"/>
  <c r="P16" i="7"/>
  <c r="O17" i="7"/>
  <c r="P17" i="7"/>
  <c r="O18" i="7"/>
  <c r="P18" i="7"/>
  <c r="O19" i="7"/>
  <c r="P19" i="7"/>
  <c r="O20" i="7"/>
  <c r="P20" i="7"/>
  <c r="O21" i="7"/>
  <c r="P21" i="7"/>
  <c r="O22" i="7"/>
  <c r="P22" i="7"/>
  <c r="O23" i="7"/>
  <c r="P23" i="7"/>
  <c r="P24" i="7"/>
  <c r="P12" i="7"/>
  <c r="H13" i="7"/>
  <c r="H14" i="7"/>
  <c r="H15" i="7"/>
  <c r="H16" i="7"/>
  <c r="H17" i="7"/>
  <c r="H18" i="7"/>
  <c r="H19" i="7"/>
  <c r="H20" i="7"/>
  <c r="H21" i="7"/>
  <c r="H22" i="7"/>
  <c r="H23" i="7"/>
  <c r="H24" i="7"/>
  <c r="G11" i="29"/>
  <c r="G12" i="29"/>
  <c r="G13" i="29"/>
  <c r="G14" i="29"/>
  <c r="G15" i="29"/>
  <c r="G16" i="29"/>
  <c r="G17" i="29"/>
  <c r="G18" i="29"/>
  <c r="G19" i="29"/>
  <c r="G20" i="29"/>
  <c r="G21" i="29"/>
  <c r="G22" i="29"/>
  <c r="C23" i="29"/>
  <c r="D23" i="29"/>
  <c r="E23" i="29"/>
  <c r="F23" i="29"/>
  <c r="G24" i="74"/>
  <c r="F13" i="67"/>
  <c r="F14" i="67"/>
  <c r="F15" i="67"/>
  <c r="F16" i="67"/>
  <c r="F17" i="67"/>
  <c r="F18" i="67"/>
  <c r="F19" i="67"/>
  <c r="F20" i="67"/>
  <c r="F21" i="67"/>
  <c r="F22" i="67"/>
  <c r="F23" i="67"/>
  <c r="F24" i="67"/>
  <c r="E25" i="67"/>
  <c r="E24" i="4"/>
  <c r="F12" i="4"/>
  <c r="F13" i="4"/>
  <c r="F14" i="4"/>
  <c r="F15" i="4"/>
  <c r="F16" i="4"/>
  <c r="F17" i="4"/>
  <c r="F18" i="4"/>
  <c r="F19" i="4"/>
  <c r="F20" i="4"/>
  <c r="F21" i="4"/>
  <c r="F22" i="4"/>
  <c r="F23" i="4"/>
  <c r="F11" i="4"/>
  <c r="C24" i="4"/>
  <c r="D24" i="4"/>
  <c r="C25" i="67"/>
  <c r="D25" i="67"/>
  <c r="K24" i="47"/>
  <c r="I24" i="47"/>
  <c r="H24" i="47"/>
  <c r="D24" i="47"/>
  <c r="E24" i="47"/>
  <c r="F24" i="47"/>
  <c r="J24" i="47"/>
  <c r="M24" i="47"/>
  <c r="N24" i="47"/>
  <c r="O24" i="47"/>
  <c r="P24" i="47"/>
  <c r="C24" i="47"/>
  <c r="D23" i="60"/>
  <c r="E23" i="60"/>
  <c r="F23" i="60"/>
  <c r="M23" i="60"/>
  <c r="N23" i="60"/>
  <c r="O23" i="60"/>
  <c r="P23" i="60"/>
  <c r="C23" i="60"/>
  <c r="L10" i="60"/>
  <c r="C25" i="59"/>
  <c r="E23" i="100"/>
  <c r="O23" i="96"/>
  <c r="S23" i="96" s="1"/>
  <c r="S25" i="96" s="1"/>
  <c r="P23" i="96"/>
  <c r="T23" i="96" s="1"/>
  <c r="Q23" i="96"/>
  <c r="U23" i="96" s="1"/>
  <c r="O24" i="96"/>
  <c r="S24" i="96" s="1"/>
  <c r="P24" i="96"/>
  <c r="P25" i="96" s="1"/>
  <c r="Q24" i="96"/>
  <c r="U24" i="96" s="1"/>
  <c r="Q13" i="96"/>
  <c r="U13" i="96" s="1"/>
  <c r="P13" i="96"/>
  <c r="S13" i="96"/>
  <c r="O29" i="56"/>
  <c r="G29" i="56"/>
  <c r="J12" i="56"/>
  <c r="H12" i="56"/>
  <c r="F12" i="56"/>
  <c r="D12" i="56"/>
  <c r="B12" i="56"/>
  <c r="L11" i="56"/>
  <c r="L10" i="56"/>
  <c r="J21" i="26"/>
  <c r="J17" i="26"/>
  <c r="J13" i="26"/>
  <c r="V23" i="72"/>
  <c r="J24" i="26"/>
  <c r="J22" i="26"/>
  <c r="J20" i="26"/>
  <c r="J18" i="26"/>
  <c r="J16" i="26"/>
  <c r="J14" i="26"/>
  <c r="I24" i="26"/>
  <c r="I23" i="26"/>
  <c r="I22" i="26"/>
  <c r="I21" i="26"/>
  <c r="I20" i="26"/>
  <c r="I19" i="26"/>
  <c r="I18" i="26"/>
  <c r="I17" i="26"/>
  <c r="I16" i="26"/>
  <c r="I15" i="26"/>
  <c r="I14" i="26"/>
  <c r="I13" i="26"/>
  <c r="G13" i="89"/>
  <c r="G26" i="89" s="1"/>
  <c r="J12" i="29"/>
  <c r="I12" i="29" s="1"/>
  <c r="D23" i="100"/>
  <c r="G23" i="100"/>
  <c r="F25" i="67"/>
  <c r="K24" i="27"/>
  <c r="J15" i="29"/>
  <c r="I15" i="29" s="1"/>
  <c r="S25" i="89"/>
  <c r="S19" i="89"/>
  <c r="S23" i="88"/>
  <c r="S17" i="88"/>
  <c r="S15" i="88"/>
  <c r="S20" i="88"/>
  <c r="Q15" i="75"/>
  <c r="Q13" i="75"/>
  <c r="Q22" i="7"/>
  <c r="Q17" i="7"/>
  <c r="Q14" i="7"/>
  <c r="Q12" i="7"/>
  <c r="K23" i="65"/>
  <c r="H25" i="67"/>
  <c r="G23" i="60"/>
  <c r="Q23" i="60"/>
  <c r="C23" i="65"/>
  <c r="G24" i="4"/>
  <c r="C24" i="66"/>
  <c r="J23" i="72"/>
  <c r="T23" i="72"/>
  <c r="I23" i="72"/>
  <c r="K23" i="72"/>
  <c r="M23" i="72"/>
  <c r="G24" i="47"/>
  <c r="H24" i="4"/>
  <c r="Q12" i="75"/>
  <c r="Q24" i="7"/>
  <c r="Q13" i="7"/>
  <c r="U12" i="98"/>
  <c r="V12" i="98"/>
  <c r="R25" i="89"/>
  <c r="Z25" i="89" s="1"/>
  <c r="R19" i="89"/>
  <c r="Z19" i="89" s="1"/>
  <c r="R15" i="89"/>
  <c r="Z15" i="89" s="1"/>
  <c r="R23" i="88"/>
  <c r="R19" i="88"/>
  <c r="R17" i="88"/>
  <c r="R15" i="88"/>
  <c r="R13" i="88"/>
  <c r="R25" i="62"/>
  <c r="O25" i="62"/>
  <c r="G25" i="67"/>
  <c r="K15" i="102"/>
  <c r="K23" i="102"/>
  <c r="G15" i="102"/>
  <c r="J10" i="81"/>
  <c r="I10" i="81" s="1"/>
  <c r="G23" i="81"/>
  <c r="J11" i="81"/>
  <c r="I11" i="81" s="1"/>
  <c r="J12" i="81"/>
  <c r="J13" i="81"/>
  <c r="J14" i="81"/>
  <c r="J17" i="81"/>
  <c r="J18" i="81"/>
  <c r="J19" i="81"/>
  <c r="J20" i="81"/>
  <c r="J21" i="81"/>
  <c r="J22" i="81"/>
  <c r="I22" i="81" s="1"/>
  <c r="J22" i="89"/>
  <c r="R17" i="89"/>
  <c r="Z17" i="89" s="1"/>
  <c r="I17" i="81"/>
  <c r="I12" i="81"/>
  <c r="I21" i="81"/>
  <c r="I18" i="81"/>
  <c r="I16" i="81"/>
  <c r="I14" i="81"/>
  <c r="I13" i="81"/>
  <c r="R21" i="88"/>
  <c r="F25" i="96"/>
  <c r="G22" i="28"/>
  <c r="E24" i="66"/>
  <c r="X23" i="72"/>
  <c r="J11" i="29"/>
  <c r="I11" i="29" s="1"/>
  <c r="J20" i="29"/>
  <c r="I20" i="29" s="1"/>
  <c r="J18" i="29"/>
  <c r="I18" i="29" s="1"/>
  <c r="AF23" i="72"/>
  <c r="N23" i="72"/>
  <c r="D24" i="66"/>
  <c r="U21" i="98"/>
  <c r="V22" i="98"/>
  <c r="F24" i="4"/>
  <c r="I15" i="81"/>
  <c r="J16" i="29"/>
  <c r="I16" i="29" s="1"/>
  <c r="J25" i="96"/>
  <c r="N21" i="96"/>
  <c r="O21" i="96"/>
  <c r="Q25" i="96"/>
  <c r="R23" i="96"/>
  <c r="F21" i="96"/>
  <c r="F26" i="96" s="1"/>
  <c r="F23" i="100"/>
  <c r="Q17" i="75"/>
  <c r="Q21" i="75"/>
  <c r="Q20" i="75"/>
  <c r="Q11" i="75"/>
  <c r="Q18" i="7"/>
  <c r="S21" i="89"/>
  <c r="S16" i="89"/>
  <c r="S21" i="88"/>
  <c r="S24" i="88"/>
  <c r="S19" i="88"/>
  <c r="S12" i="88"/>
  <c r="V14" i="88"/>
  <c r="S18" i="88"/>
  <c r="S16" i="88"/>
  <c r="S13" i="88"/>
  <c r="D25" i="26"/>
  <c r="J12" i="26"/>
  <c r="K27" i="4" l="1"/>
  <c r="L32" i="4"/>
  <c r="P20" i="29"/>
  <c r="O20" i="29"/>
  <c r="N20" i="29"/>
  <c r="M20" i="29" s="1"/>
  <c r="P16" i="29"/>
  <c r="N16" i="29"/>
  <c r="O16" i="29"/>
  <c r="P12" i="29"/>
  <c r="O12" i="29"/>
  <c r="N12" i="29"/>
  <c r="S14" i="89"/>
  <c r="N20" i="81"/>
  <c r="M20" i="81" s="1"/>
  <c r="O20" i="81"/>
  <c r="P20" i="81"/>
  <c r="N16" i="81"/>
  <c r="O16" i="81"/>
  <c r="P16" i="81"/>
  <c r="N12" i="81"/>
  <c r="O12" i="81"/>
  <c r="P12" i="81"/>
  <c r="J19" i="29"/>
  <c r="I19" i="29" s="1"/>
  <c r="O19" i="29"/>
  <c r="N19" i="29"/>
  <c r="P19" i="29"/>
  <c r="O15" i="29"/>
  <c r="P15" i="29"/>
  <c r="N15" i="29"/>
  <c r="M15" i="29" s="1"/>
  <c r="O11" i="29"/>
  <c r="P11" i="29"/>
  <c r="N11" i="29"/>
  <c r="G24" i="58"/>
  <c r="P10" i="81"/>
  <c r="N10" i="81"/>
  <c r="O10" i="81"/>
  <c r="P19" i="81"/>
  <c r="N19" i="81"/>
  <c r="O19" i="81"/>
  <c r="N15" i="81"/>
  <c r="O15" i="81"/>
  <c r="P15" i="81"/>
  <c r="P11" i="81"/>
  <c r="N11" i="81"/>
  <c r="O11" i="81"/>
  <c r="O23" i="81" s="1"/>
  <c r="R13" i="96"/>
  <c r="Q21" i="96"/>
  <c r="N22" i="29"/>
  <c r="P22" i="29"/>
  <c r="O22" i="29"/>
  <c r="J22" i="29"/>
  <c r="I22" i="29" s="1"/>
  <c r="N18" i="29"/>
  <c r="P18" i="29"/>
  <c r="O18" i="29"/>
  <c r="J14" i="29"/>
  <c r="N14" i="29"/>
  <c r="O14" i="29"/>
  <c r="P14" i="29"/>
  <c r="W12" i="98"/>
  <c r="K23" i="98"/>
  <c r="T23" i="98"/>
  <c r="P22" i="81"/>
  <c r="N22" i="81"/>
  <c r="O22" i="81"/>
  <c r="P18" i="81"/>
  <c r="O18" i="81"/>
  <c r="N18" i="81"/>
  <c r="P14" i="81"/>
  <c r="O14" i="81"/>
  <c r="N14" i="81"/>
  <c r="J10" i="29"/>
  <c r="O10" i="29"/>
  <c r="N10" i="29"/>
  <c r="P10" i="29"/>
  <c r="I25" i="26"/>
  <c r="J21" i="29"/>
  <c r="I21" i="29" s="1"/>
  <c r="P21" i="29"/>
  <c r="N21" i="29"/>
  <c r="O21" i="29"/>
  <c r="J17" i="29"/>
  <c r="I17" i="29" s="1"/>
  <c r="N17" i="29"/>
  <c r="M17" i="29" s="1"/>
  <c r="O17" i="29"/>
  <c r="P17" i="29"/>
  <c r="J13" i="29"/>
  <c r="I13" i="29" s="1"/>
  <c r="N13" i="29"/>
  <c r="M13" i="29" s="1"/>
  <c r="O13" i="29"/>
  <c r="P13" i="29"/>
  <c r="J23" i="98"/>
  <c r="O21" i="81"/>
  <c r="P21" i="81"/>
  <c r="N21" i="81"/>
  <c r="O17" i="81"/>
  <c r="N17" i="81"/>
  <c r="M17" i="81" s="1"/>
  <c r="P17" i="81"/>
  <c r="O13" i="81"/>
  <c r="N13" i="81"/>
  <c r="P13" i="81"/>
  <c r="P23" i="81" s="1"/>
  <c r="J23" i="81"/>
  <c r="Q26" i="96"/>
  <c r="I26" i="96"/>
  <c r="T24" i="96"/>
  <c r="V24" i="96" s="1"/>
  <c r="R24" i="96"/>
  <c r="R25" i="96" s="1"/>
  <c r="O25" i="96"/>
  <c r="O26" i="96" s="1"/>
  <c r="P21" i="96"/>
  <c r="P26" i="96" s="1"/>
  <c r="T13" i="96"/>
  <c r="V13" i="96" s="1"/>
  <c r="E26" i="96"/>
  <c r="W13" i="98"/>
  <c r="U13" i="98"/>
  <c r="U23" i="98" s="1"/>
  <c r="W15" i="98"/>
  <c r="V14" i="98"/>
  <c r="V23" i="98" s="1"/>
  <c r="F25" i="26"/>
  <c r="P26" i="89"/>
  <c r="S23" i="89"/>
  <c r="M26" i="89"/>
  <c r="S13" i="89"/>
  <c r="S22" i="89"/>
  <c r="R26" i="89"/>
  <c r="Z26" i="89" s="1"/>
  <c r="Q26" i="89"/>
  <c r="Y26" i="89" s="1"/>
  <c r="J26" i="89"/>
  <c r="R25" i="88"/>
  <c r="S25" i="88"/>
  <c r="Q14" i="75"/>
  <c r="Q23" i="7"/>
  <c r="Q19" i="7"/>
  <c r="F23" i="135"/>
  <c r="Q23" i="81"/>
  <c r="L23" i="60"/>
  <c r="Q24" i="47"/>
  <c r="E26" i="14"/>
  <c r="H17" i="14"/>
  <c r="H25" i="14" s="1"/>
  <c r="D26" i="14"/>
  <c r="Z22" i="72"/>
  <c r="H23" i="72"/>
  <c r="W23" i="72"/>
  <c r="G23" i="29"/>
  <c r="I14" i="29"/>
  <c r="G24" i="27"/>
  <c r="G25" i="59"/>
  <c r="L12" i="56"/>
  <c r="G23" i="102"/>
  <c r="E22" i="130"/>
  <c r="H25" i="26"/>
  <c r="J26" i="96"/>
  <c r="I19" i="81"/>
  <c r="I20" i="81"/>
  <c r="M26" i="96"/>
  <c r="H26" i="96"/>
  <c r="L25" i="59"/>
  <c r="S23" i="78"/>
  <c r="M14" i="58"/>
  <c r="M18" i="58"/>
  <c r="M22" i="58"/>
  <c r="M20" i="59"/>
  <c r="M24" i="59"/>
  <c r="J23" i="26"/>
  <c r="J19" i="26"/>
  <c r="J15" i="26"/>
  <c r="J25" i="26" s="1"/>
  <c r="V12" i="88"/>
  <c r="V25" i="88" s="1"/>
  <c r="V26" i="89"/>
  <c r="M13" i="58"/>
  <c r="M17" i="58"/>
  <c r="M21" i="58"/>
  <c r="M12" i="59"/>
  <c r="M16" i="59"/>
  <c r="M19" i="59"/>
  <c r="M23" i="59"/>
  <c r="N26" i="96"/>
  <c r="L24" i="47"/>
  <c r="K26" i="96"/>
  <c r="F24" i="66"/>
  <c r="L26" i="96"/>
  <c r="L24" i="58"/>
  <c r="M15" i="59"/>
  <c r="U25" i="96"/>
  <c r="J13" i="27"/>
  <c r="I13" i="27"/>
  <c r="J17" i="27"/>
  <c r="I17" i="27"/>
  <c r="J21" i="27"/>
  <c r="I21" i="27"/>
  <c r="Z23" i="72"/>
  <c r="E6" i="112"/>
  <c r="H24" i="27"/>
  <c r="J12" i="27"/>
  <c r="I16" i="27"/>
  <c r="J16" i="27"/>
  <c r="J20" i="27"/>
  <c r="I20" i="27"/>
  <c r="J15" i="27"/>
  <c r="I15" i="27"/>
  <c r="I19" i="27"/>
  <c r="J19" i="27"/>
  <c r="J23" i="27"/>
  <c r="I23" i="27"/>
  <c r="H22" i="28"/>
  <c r="U21" i="96"/>
  <c r="I24" i="93"/>
  <c r="V23" i="96"/>
  <c r="I14" i="27"/>
  <c r="J14" i="27"/>
  <c r="J18" i="27"/>
  <c r="I18" i="27"/>
  <c r="I22" i="27"/>
  <c r="J22" i="27"/>
  <c r="Q23" i="75"/>
  <c r="S24" i="89"/>
  <c r="M11" i="1"/>
  <c r="M24" i="1" s="1"/>
  <c r="D30" i="138"/>
  <c r="F23" i="129"/>
  <c r="J25" i="62"/>
  <c r="S17" i="89"/>
  <c r="Q22" i="75"/>
  <c r="Q18" i="75"/>
  <c r="N24" i="75"/>
  <c r="Q16" i="75"/>
  <c r="P24" i="75"/>
  <c r="O24" i="75"/>
  <c r="H24" i="75"/>
  <c r="E24" i="75"/>
  <c r="K24" i="75"/>
  <c r="Q21" i="7"/>
  <c r="N25" i="7"/>
  <c r="Q20" i="7"/>
  <c r="Q16" i="7"/>
  <c r="Q15" i="7"/>
  <c r="K25" i="7"/>
  <c r="P25" i="7"/>
  <c r="H16" i="14"/>
  <c r="O25" i="7"/>
  <c r="H25" i="7"/>
  <c r="J24" i="84"/>
  <c r="M21" i="81" l="1"/>
  <c r="O23" i="29"/>
  <c r="M14" i="29"/>
  <c r="M18" i="29"/>
  <c r="M22" i="29"/>
  <c r="M11" i="81"/>
  <c r="M15" i="81"/>
  <c r="M11" i="29"/>
  <c r="M12" i="81"/>
  <c r="M12" i="29"/>
  <c r="M16" i="29"/>
  <c r="T21" i="96"/>
  <c r="M21" i="29"/>
  <c r="J23" i="29"/>
  <c r="I10" i="29"/>
  <c r="I23" i="29" s="1"/>
  <c r="M18" i="81"/>
  <c r="M22" i="81"/>
  <c r="W23" i="98"/>
  <c r="M10" i="81"/>
  <c r="P23" i="29"/>
  <c r="M14" i="81"/>
  <c r="M13" i="81"/>
  <c r="N23" i="29"/>
  <c r="M10" i="29"/>
  <c r="M19" i="29"/>
  <c r="M16" i="81"/>
  <c r="T25" i="96"/>
  <c r="U26" i="96"/>
  <c r="V25" i="96"/>
  <c r="S26" i="89"/>
  <c r="M19" i="81"/>
  <c r="M23" i="81" s="1"/>
  <c r="D20" i="112" s="1"/>
  <c r="F20" i="112" s="1"/>
  <c r="N23" i="81"/>
  <c r="M24" i="58"/>
  <c r="M25" i="59"/>
  <c r="D14" i="112"/>
  <c r="F14" i="112" s="1"/>
  <c r="I23" i="81"/>
  <c r="V21" i="96"/>
  <c r="R21" i="96"/>
  <c r="R26" i="96" s="1"/>
  <c r="T26" i="96"/>
  <c r="S21" i="96"/>
  <c r="S26" i="96" s="1"/>
  <c r="D4" i="112"/>
  <c r="I24" i="27"/>
  <c r="E4" i="112"/>
  <c r="E22" i="112" s="1"/>
  <c r="I22" i="28"/>
  <c r="J24" i="27"/>
  <c r="F15" i="138"/>
  <c r="F30" i="138" s="1"/>
  <c r="D13" i="112"/>
  <c r="F13" i="112" s="1"/>
  <c r="J22" i="28"/>
  <c r="D6" i="112"/>
  <c r="F6" i="112" s="1"/>
  <c r="Q24" i="75"/>
  <c r="Q25" i="7"/>
  <c r="H26" i="14"/>
  <c r="M23" i="29" l="1"/>
  <c r="D19" i="112" s="1"/>
  <c r="F19" i="112" s="1"/>
  <c r="V26" i="96"/>
  <c r="F4" i="112"/>
  <c r="D15" i="112"/>
  <c r="F15" i="112" s="1"/>
  <c r="D16" i="112"/>
  <c r="F16" i="112" s="1"/>
  <c r="D22" i="112" l="1"/>
  <c r="F22" i="112"/>
</calcChain>
</file>

<file path=xl/sharedStrings.xml><?xml version="1.0" encoding="utf-8"?>
<sst xmlns="http://schemas.openxmlformats.org/spreadsheetml/2006/main" count="3333" uniqueCount="1011">
  <si>
    <t>[Mid-Day Meal Scheme]</t>
  </si>
  <si>
    <t>State:</t>
  </si>
  <si>
    <t>S.No.</t>
  </si>
  <si>
    <t>Name of District</t>
  </si>
  <si>
    <t>No. of  Institutions</t>
  </si>
  <si>
    <t xml:space="preserve">(Govt+LB)Schools </t>
  </si>
  <si>
    <t>GA Schools</t>
  </si>
  <si>
    <t>Govt: Government Schools</t>
  </si>
  <si>
    <t>LB: Local Body Schools</t>
  </si>
  <si>
    <t>GA: Govt Aided Schools</t>
  </si>
  <si>
    <t xml:space="preserve"> </t>
  </si>
  <si>
    <t>Date:_________</t>
  </si>
  <si>
    <t>(Signature)</t>
  </si>
  <si>
    <t xml:space="preserve">Secretary of the Nodal Department </t>
  </si>
  <si>
    <t xml:space="preserve">                          Government/UT Administration of ________</t>
  </si>
  <si>
    <t>(Only in MS-Excel Format)</t>
  </si>
  <si>
    <t xml:space="preserve">No. of children </t>
  </si>
  <si>
    <t>Total no. of meals served</t>
  </si>
  <si>
    <t>Total</t>
  </si>
  <si>
    <t>Government/UT Administration of ________</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</si>
  <si>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</si>
  <si>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</si>
  <si>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</si>
  <si>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</si>
  <si>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</si>
  <si>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</si>
  <si>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</si>
  <si>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</si>
  <si>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</si>
  <si>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</si>
  <si>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</si>
  <si>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</si>
  <si>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</si>
  <si>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</si>
  <si>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</si>
  <si>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</si>
  <si>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</si>
  <si>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</si>
  <si>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</si>
  <si>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</si>
  <si>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</si>
  <si>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</si>
  <si>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</si>
  <si>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</si>
  <si>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</si>
  <si>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</si>
  <si>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</si>
  <si>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</si>
  <si>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</si>
  <si>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</si>
  <si>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</si>
  <si>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</si>
  <si>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</si>
  <si>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 xml:space="preserve">Foodgrains (Wheat/Rice) </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</si>
  <si>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</si>
  <si>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</si>
  <si>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</si>
  <si>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</si>
  <si>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</si>
  <si>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</si>
  <si>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</si>
  <si>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</si>
  <si>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</si>
  <si>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</si>
  <si>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</si>
  <si>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</si>
  <si>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</si>
  <si>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</si>
  <si>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</si>
  <si>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</si>
  <si>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</si>
  <si>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</si>
  <si>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</si>
  <si>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</si>
  <si>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</si>
  <si>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</si>
  <si>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</si>
  <si>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</si>
  <si>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</si>
  <si>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</si>
  <si>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</si>
  <si>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</si>
  <si>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</si>
  <si>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</si>
  <si>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</si>
  <si>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</si>
  <si>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</si>
  <si>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</si>
  <si>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</si>
  <si>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</si>
  <si>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</si>
  <si>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</si>
  <si>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Table: AT-5A</t>
  </si>
  <si>
    <t xml:space="preserve">Total </t>
  </si>
  <si>
    <t xml:space="preserve">                                                                                                                                                                               Government/UT Administration of ________</t>
  </si>
  <si>
    <t>Table: AT-7A</t>
  </si>
  <si>
    <t>Requirement of funds for Foodgrains (Rs. in lakhs)</t>
  </si>
  <si>
    <t xml:space="preserve">Total Cooking cost expenditure                   </t>
  </si>
  <si>
    <t xml:space="preserve">Cooking assistance received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</si>
  <si>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</si>
  <si>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</si>
  <si>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</si>
  <si>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</si>
  <si>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</si>
  <si>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</si>
  <si>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</si>
  <si>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</si>
  <si>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</si>
  <si>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</si>
  <si>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</si>
  <si>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</si>
  <si>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</si>
  <si>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</si>
  <si>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</si>
  <si>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</si>
  <si>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SI.No</t>
  </si>
  <si>
    <t>Component</t>
  </si>
  <si>
    <t>No. of Meals served</t>
  </si>
  <si>
    <t xml:space="preserve">No. of working days on which MDM served </t>
  </si>
  <si>
    <t>Centre</t>
  </si>
  <si>
    <t>Central assistance received</t>
  </si>
  <si>
    <t>*Rice</t>
  </si>
  <si>
    <t>*Wheat</t>
  </si>
  <si>
    <t>Honorarium amount (Rs. In lakhs)</t>
  </si>
  <si>
    <t xml:space="preserve">*Norms are only for guidance. Actual number will be determined on the basis of ground reality. </t>
  </si>
  <si>
    <t>Total            (col 3+4+5+6)</t>
  </si>
  <si>
    <t>Total       (col.8+9+10+11)</t>
  </si>
  <si>
    <t>Plinth Area 1</t>
  </si>
  <si>
    <t>No. of Institutions</t>
  </si>
  <si>
    <t>Plinth Area 2</t>
  </si>
  <si>
    <t>Plinth Area 3</t>
  </si>
  <si>
    <t>Plinth Area 4</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</si>
  <si>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</si>
  <si>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</si>
  <si>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</si>
  <si>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</si>
  <si>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</si>
  <si>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</si>
  <si>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</si>
  <si>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</si>
  <si>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</si>
  <si>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</si>
  <si>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</si>
  <si>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</si>
  <si>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</si>
  <si>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</si>
  <si>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</si>
  <si>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</si>
  <si>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</si>
  <si>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</si>
  <si>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r>
      <t xml:space="preserve">Total  </t>
    </r>
    <r>
      <rPr>
        <b/>
        <i/>
        <sz val="10"/>
        <rFont val="Arial"/>
        <family val="2"/>
      </rPr>
      <t xml:space="preserve"> </t>
    </r>
  </si>
  <si>
    <t xml:space="preserve"># Rice </t>
  </si>
  <si>
    <t xml:space="preserve">## Wheat </t>
  </si>
  <si>
    <t xml:space="preserve">Unit Cost </t>
  </si>
  <si>
    <t>(Rs. In lakhs)</t>
  </si>
  <si>
    <t>*No. of additional cooks required as per norm</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</si>
  <si>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</si>
  <si>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</si>
  <si>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</si>
  <si>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</si>
  <si>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</si>
  <si>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</si>
  <si>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</si>
  <si>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</si>
  <si>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</si>
  <si>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</si>
  <si>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</si>
  <si>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</si>
  <si>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</si>
  <si>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</si>
  <si>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Budget Provision</t>
  </si>
  <si>
    <t>*: includes unspent balance at State, District, Block and school level (including NGOs/Private Agencies).</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</si>
  <si>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</si>
  <si>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</si>
  <si>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</si>
  <si>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</si>
  <si>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</si>
  <si>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</si>
  <si>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</si>
  <si>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</si>
  <si>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</si>
  <si>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</si>
  <si>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</si>
  <si>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</si>
  <si>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</si>
  <si>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</si>
  <si>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</si>
  <si>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</si>
  <si>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</si>
  <si>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</si>
  <si>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For Central Share</t>
  </si>
  <si>
    <t>For State Share</t>
  </si>
  <si>
    <t xml:space="preserve">Cooking Cost Released                          </t>
  </si>
  <si>
    <t>Central Share</t>
  </si>
  <si>
    <t>Status of Releasing of Funds by the State / UT</t>
  </si>
  <si>
    <t>Date on which Block / Gram Panchyat / School / Cooking Agency received funds</t>
  </si>
  <si>
    <t>Directorate / Authority</t>
  </si>
  <si>
    <t xml:space="preserve">*Total </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</si>
  <si>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</si>
  <si>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</si>
  <si>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</si>
  <si>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</si>
  <si>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</si>
  <si>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</si>
  <si>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</si>
  <si>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</si>
  <si>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</si>
  <si>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</si>
  <si>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</si>
  <si>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iii) Office expenditure</t>
  </si>
  <si>
    <t>vi) Publicity, Preparation of relevant manuals</t>
  </si>
  <si>
    <t xml:space="preserve">vii) External Monitoring &amp; Evaluation </t>
  </si>
  <si>
    <t>Total no of Cook-cum-helper</t>
  </si>
  <si>
    <t>Trust</t>
  </si>
  <si>
    <t>PRI / GP/ Urban Local Body</t>
  </si>
  <si>
    <t>GP - Gram Panchayat</t>
  </si>
  <si>
    <t>No. of children covered</t>
  </si>
  <si>
    <t>Kitchen-cum-store</t>
  </si>
  <si>
    <t>No. of meals to be served  (Col. 4 x Col. 5)</t>
  </si>
  <si>
    <t>Average No. of children availed MDM [Col. 8/Col. 9]</t>
  </si>
  <si>
    <t>Name of Distict</t>
  </si>
  <si>
    <t xml:space="preserve">No. of cooks engaged </t>
  </si>
  <si>
    <t>Central share</t>
  </si>
  <si>
    <t>State Share</t>
  </si>
  <si>
    <t>(Rs. in Lakhs)</t>
  </si>
  <si>
    <t>Table: AT-8A</t>
  </si>
  <si>
    <t xml:space="preserve">Table: AT-12 : Utilisation of Central assistance towards procurement of Kitchen Devices (Primary &amp; Upper Primary,Classes I-VIII) </t>
  </si>
  <si>
    <t>Total       (col. 8+9+  10+11)</t>
  </si>
  <si>
    <t>Total            (col 3+4 +5+6)</t>
  </si>
  <si>
    <t>Table: AT-4A: Enrolment vis-a-vis opted for MDM  (Upper Primary, Classes VI - VIII)</t>
  </si>
  <si>
    <t>Table: AT-6B</t>
  </si>
  <si>
    <t xml:space="preserve">No. of Cook-cum-helper approved by  PAB-MDM </t>
  </si>
  <si>
    <t xml:space="preserve">No. of CCH engaged by States/UTs </t>
  </si>
  <si>
    <t>kitchen cum store constructed through convergance</t>
  </si>
  <si>
    <t xml:space="preserve">Adhoc Grant (25%) </t>
  </si>
  <si>
    <t xml:space="preserve">(A) Recurring Assistance </t>
  </si>
  <si>
    <t xml:space="preserve">(B) Non-Recurring Assistance </t>
  </si>
  <si>
    <t xml:space="preserve">Tax per MT foodgrain, if any : </t>
  </si>
  <si>
    <t>(Govt+LB)</t>
  </si>
  <si>
    <t>GA</t>
  </si>
  <si>
    <t>Total(10+13-16)</t>
  </si>
  <si>
    <t xml:space="preserve">No. of schools </t>
  </si>
  <si>
    <t xml:space="preserve">Health Check -ups </t>
  </si>
  <si>
    <t>Name of  District</t>
  </si>
  <si>
    <t>S.no</t>
  </si>
  <si>
    <t>Madarsa/Maqtab</t>
  </si>
  <si>
    <t xml:space="preserve">Central Assistance Released by GOI </t>
  </si>
  <si>
    <t>(Rs. in Lakh)</t>
  </si>
  <si>
    <t>Management, Supervision, Training,  Internal Monitoring and External Monitoring</t>
  </si>
  <si>
    <t xml:space="preserve">Released by State Govt. if any </t>
  </si>
  <si>
    <t xml:space="preserve">Remarks </t>
  </si>
  <si>
    <t>Total (col. 3+4+5+6)</t>
  </si>
  <si>
    <t>Deworming tablets distributed</t>
  </si>
  <si>
    <t>Table AT - 8 :UTILIZATION OF CENTRAL ASSISTANCE TOWARDS HONORARIUM TO COOK-CUM-HELPERS (Primary classes I-V)</t>
  </si>
  <si>
    <t>Distribution of spectacles</t>
  </si>
  <si>
    <t>2012-13</t>
  </si>
  <si>
    <t>Table AT- 8A : UTILIZATION OF CENTRAL ASSISTANCE TOWARDS HONORARIUM TO COOK-CUM-HELPER (Upper Primary classes VI-VIII)</t>
  </si>
  <si>
    <t xml:space="preserve">If the cooking cost has been revised several times during the year, then all such costs should be indicated in separate rows and dates of their application in remarks column. </t>
  </si>
  <si>
    <t>Total (col. 3+4+5+6+7)</t>
  </si>
  <si>
    <t>Replacement of kitchen devices</t>
  </si>
  <si>
    <t>Madrasa / Maktabs</t>
  </si>
  <si>
    <t>Recurring Assistance</t>
  </si>
  <si>
    <t>Non-Recurring Assistance</t>
  </si>
  <si>
    <t>Payment of Pending Bills of previous year</t>
  </si>
  <si>
    <t xml:space="preserve">Pending bills of previous year </t>
  </si>
  <si>
    <t xml:space="preserve">Amount  </t>
  </si>
  <si>
    <t>Constructed with convergence</t>
  </si>
  <si>
    <t>Procured with convergence</t>
  </si>
  <si>
    <t>Academic Calendar (No. of Days)</t>
  </si>
  <si>
    <t>Anticipated No. of working days for NCLP schools</t>
  </si>
  <si>
    <t>Total No. of schools excluding newly opened school</t>
  </si>
  <si>
    <t>No. of Schools not having Kitchen-cum-store</t>
  </si>
  <si>
    <t>No. of children enrolled</t>
  </si>
  <si>
    <t>Recurring Asssitance</t>
  </si>
  <si>
    <t>Non Recurring Assistance</t>
  </si>
  <si>
    <t>Mandatory Table</t>
  </si>
  <si>
    <t>Mode of Payment (cash / cheque / e-transfer)</t>
  </si>
  <si>
    <t>Rs. In  Lakh</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</si>
  <si>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</si>
  <si>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</si>
  <si>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</si>
  <si>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</si>
  <si>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</si>
  <si>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</si>
  <si>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</si>
  <si>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</si>
  <si>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</si>
  <si>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</si>
  <si>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</si>
  <si>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</si>
  <si>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</si>
  <si>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</si>
  <si>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</si>
  <si>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</si>
  <si>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</si>
  <si>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</si>
  <si>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</si>
  <si>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</si>
  <si>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</si>
  <si>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</si>
  <si>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</si>
  <si>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</si>
  <si>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Table-AT- 25</t>
  </si>
  <si>
    <t xml:space="preserve">Total Institutions </t>
  </si>
  <si>
    <t>No. of Inst. For which Monthly data entry completed</t>
  </si>
  <si>
    <t>Apr</t>
  </si>
  <si>
    <t>May</t>
  </si>
  <si>
    <t>Jun</t>
  </si>
  <si>
    <t>Jul</t>
  </si>
  <si>
    <t>Aug</t>
  </si>
  <si>
    <t>Sep</t>
  </si>
  <si>
    <t>Oct</t>
  </si>
  <si>
    <t>Nov</t>
  </si>
  <si>
    <t>Dec</t>
  </si>
  <si>
    <t xml:space="preserve">                                                                                                                                                                              </t>
  </si>
  <si>
    <t xml:space="preserve">Sl. </t>
  </si>
  <si>
    <t>Designation</t>
  </si>
  <si>
    <t>Working under MDMS</t>
  </si>
  <si>
    <t>State level</t>
  </si>
  <si>
    <t>District Level</t>
  </si>
  <si>
    <t>Block Level</t>
  </si>
  <si>
    <t>9</t>
  </si>
  <si>
    <t>10</t>
  </si>
  <si>
    <t>11</t>
  </si>
  <si>
    <t>Regular Employee</t>
  </si>
  <si>
    <t>Contractual/Part time employee</t>
  </si>
  <si>
    <t xml:space="preserve">District </t>
  </si>
  <si>
    <t xml:space="preserve">Action Taken by State Govt. </t>
  </si>
  <si>
    <t>Gender</t>
  </si>
  <si>
    <t>Caste</t>
  </si>
  <si>
    <t>community</t>
  </si>
  <si>
    <t>Serving by disadvantaged section</t>
  </si>
  <si>
    <t>Sitting Arrangement</t>
  </si>
  <si>
    <t>Physical details</t>
  </si>
  <si>
    <t>Financial details (Rs. in Lakh)</t>
  </si>
  <si>
    <t>No. of Institutions covered</t>
  </si>
  <si>
    <t>No. of CCH engaged at Cent. kitchen</t>
  </si>
  <si>
    <t>No. of CCH engaged at schools covered by centralised kitchen</t>
  </si>
  <si>
    <t xml:space="preserve">Honorarium paid to cooks working at centralized kitchen </t>
  </si>
  <si>
    <t>Honorarium paid to CCH at schools  covered by centralised kitchen</t>
  </si>
  <si>
    <t>Total honorarium paid  (col 9 + 10)</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</si>
  <si>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</si>
  <si>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</si>
  <si>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</si>
  <si>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</si>
  <si>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</si>
  <si>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</si>
  <si>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</si>
  <si>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</si>
  <si>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</si>
  <si>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</si>
  <si>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</si>
  <si>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</si>
  <si>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</si>
  <si>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</si>
  <si>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</si>
  <si>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</si>
  <si>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</si>
  <si>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</si>
  <si>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</si>
  <si>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</si>
  <si>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</si>
  <si>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</si>
  <si>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</si>
  <si>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</si>
  <si>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</si>
  <si>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</si>
  <si>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</si>
  <si>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Category of Complaints</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</si>
  <si>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</si>
  <si>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</si>
  <si>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</si>
  <si>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</si>
  <si>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</si>
  <si>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</si>
  <si>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</si>
  <si>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</si>
  <si>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</si>
  <si>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</si>
  <si>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</si>
  <si>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</si>
  <si>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</si>
  <si>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</si>
  <si>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</si>
  <si>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</si>
  <si>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</si>
  <si>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</si>
  <si>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</si>
  <si>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</si>
  <si>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Free of cost</t>
  </si>
  <si>
    <t>As per requirement</t>
  </si>
  <si>
    <t>Salary of State Staff</t>
  </si>
  <si>
    <t>Almora</t>
  </si>
  <si>
    <t>Bageshwar</t>
  </si>
  <si>
    <t>Chamoli</t>
  </si>
  <si>
    <t>Champawat</t>
  </si>
  <si>
    <t>Dehradun</t>
  </si>
  <si>
    <t>Haridwar</t>
  </si>
  <si>
    <t>Nainital</t>
  </si>
  <si>
    <t>Pauri</t>
  </si>
  <si>
    <t>Pithoragarh</t>
  </si>
  <si>
    <t>Rudraprayag</t>
  </si>
  <si>
    <t>Tehri</t>
  </si>
  <si>
    <t>USNagar</t>
  </si>
  <si>
    <t>Uttarkashi</t>
  </si>
  <si>
    <t>NA</t>
  </si>
  <si>
    <t>NIL</t>
  </si>
  <si>
    <t>Total (8+11-14)</t>
  </si>
  <si>
    <t>Central Share (8+11-14)</t>
  </si>
  <si>
    <t>Total (10+13-16)</t>
  </si>
  <si>
    <t>Uttarakhand</t>
  </si>
  <si>
    <t>Rs. In Lacs</t>
  </si>
  <si>
    <t>S.No</t>
  </si>
  <si>
    <t>Head</t>
  </si>
  <si>
    <t>Level</t>
  </si>
  <si>
    <t>Central Assistance</t>
  </si>
  <si>
    <t>State Assistance</t>
  </si>
  <si>
    <t>Remark</t>
  </si>
  <si>
    <t>Cooking Assistance</t>
  </si>
  <si>
    <t>Kitchen cum Store</t>
  </si>
  <si>
    <t>GOI</t>
  </si>
  <si>
    <t>Transportation (food grains) Subsidy</t>
  </si>
  <si>
    <t>PS</t>
  </si>
  <si>
    <t>1.8% of Cooking Assistance,Transportation Subsidy , Honorarium of cooks &amp; cost of foodgrains.</t>
  </si>
  <si>
    <t>UPS</t>
  </si>
  <si>
    <t>Rs 1000 per month, 75:25, Rs 500 additional by State Govt.</t>
  </si>
  <si>
    <t>Cost of Foodgrains</t>
  </si>
  <si>
    <t>Salary Staff</t>
  </si>
  <si>
    <t>NCLP  children</t>
  </si>
  <si>
    <t>PS - 20218</t>
  </si>
  <si>
    <t>UPS - 10237</t>
  </si>
  <si>
    <t>PS+UPS - 0</t>
  </si>
  <si>
    <t>PS - 11437.73 MT</t>
  </si>
  <si>
    <t>UPS- 11839.43 MT</t>
  </si>
  <si>
    <t xml:space="preserve">  @ 5650 per MT+VAT@5%</t>
  </si>
  <si>
    <t>Govt. Staff only</t>
  </si>
  <si>
    <t>No Requirement for 2013-14</t>
  </si>
  <si>
    <t>Annual workplan and Budget proposal by State for 2013-14 MDM</t>
  </si>
  <si>
    <t xml:space="preserve">       @3.34Per child/day,75:25 (2.50+0.84)</t>
  </si>
  <si>
    <t xml:space="preserve">             @5.00Per child/day, 75:25 (3.75+1.25)</t>
  </si>
  <si>
    <t>Salary MDM Staff</t>
  </si>
  <si>
    <t>Cooking Assistance(gas)</t>
  </si>
  <si>
    <t>PS-(3987)</t>
  </si>
  <si>
    <t>Additional Cost of LPG over subsidy</t>
  </si>
  <si>
    <t>UPS-(921)</t>
  </si>
  <si>
    <t>Joint Director-01</t>
  </si>
  <si>
    <t>Field Investigator-02</t>
  </si>
  <si>
    <t>Steno/Accountant-01</t>
  </si>
  <si>
    <t>Computer Operator/Senior Clerk-01</t>
  </si>
  <si>
    <t>Coordinator-02</t>
  </si>
  <si>
    <t>Assistant Accountant-01</t>
  </si>
  <si>
    <t>Auditor-01</t>
  </si>
  <si>
    <t>Computer Operator-01</t>
  </si>
  <si>
    <t>MIS Coordinator</t>
  </si>
  <si>
    <t>Additional MME Plan Submitted to GOI</t>
  </si>
  <si>
    <t>Office Assistant-02</t>
  </si>
  <si>
    <t>Yes-State Project Office-SSA</t>
  </si>
  <si>
    <t>Yes-Education Department</t>
  </si>
  <si>
    <t>State Project Director-SSA</t>
  </si>
  <si>
    <t>Block Education Officer</t>
  </si>
  <si>
    <t>-</t>
  </si>
  <si>
    <t>Yes- From State Information Department</t>
  </si>
  <si>
    <t>Yes- Through Post</t>
  </si>
  <si>
    <t>State / UT: UTTARAKHAND</t>
  </si>
  <si>
    <t>Honorarium of cooks</t>
  </si>
  <si>
    <t>PS (501983 children)</t>
  </si>
  <si>
    <t>UPS (337774 children)</t>
  </si>
  <si>
    <t>District (Yes/No) Give details</t>
  </si>
  <si>
    <t xml:space="preserve">Total no. of NGOs covering &gt; 20000 children </t>
  </si>
  <si>
    <t xml:space="preserve">Total no. of cent. kitchen </t>
  </si>
  <si>
    <t>PS + UPS (7090+809)</t>
  </si>
  <si>
    <t>No. of school days 246, NCLP 315 days</t>
  </si>
  <si>
    <t>No. of Institutions serving MDM</t>
  </si>
  <si>
    <t>2014-15</t>
  </si>
  <si>
    <t>Table: AT-19</t>
  </si>
  <si>
    <t>year</t>
  </si>
  <si>
    <t>Target</t>
  </si>
  <si>
    <t>2006-07</t>
  </si>
  <si>
    <t>2007-08</t>
  </si>
  <si>
    <t>2008-09</t>
  </si>
  <si>
    <t>Target for Replacement of KD</t>
  </si>
  <si>
    <t>Replaced</t>
  </si>
  <si>
    <t>No. of Institution for which Annual data entry completed</t>
  </si>
  <si>
    <t>Districts Releases funds under heads Cooking Cost, Honorarium of Cooks, MME directly to SMC Accounts within 10 days of receiving from State Level.</t>
  </si>
  <si>
    <r>
      <t>Financial         (</t>
    </r>
    <r>
      <rPr>
        <b/>
        <i/>
        <sz val="10"/>
        <rFont val="Arial"/>
        <family val="2"/>
      </rPr>
      <t>Rs. in lakh)</t>
    </r>
  </si>
  <si>
    <r>
      <t>Financial        (</t>
    </r>
    <r>
      <rPr>
        <b/>
        <i/>
        <sz val="10"/>
        <rFont val="Arial"/>
        <family val="2"/>
      </rPr>
      <t>Rs. in lakh)</t>
    </r>
  </si>
  <si>
    <t>2015-16</t>
  </si>
  <si>
    <t>1. A - Honorarium to Cook cum helpers (per month):</t>
  </si>
  <si>
    <t>Cnetre Share</t>
  </si>
  <si>
    <t>2. a.</t>
  </si>
  <si>
    <t>Additional Food Items (per child)</t>
  </si>
  <si>
    <t>Name of food items</t>
  </si>
  <si>
    <t>Quantity</t>
  </si>
  <si>
    <t>Cost (in Rs.)</t>
  </si>
  <si>
    <t>Frequency</t>
  </si>
  <si>
    <t>Gen. Col. 3-Col.15</t>
  </si>
  <si>
    <t>SC.  Col. 4-Col.16</t>
  </si>
  <si>
    <t>ST.  Col. 5-Col.17</t>
  </si>
  <si>
    <t>Total Col. 19+Col.20+Col.21</t>
  </si>
  <si>
    <t>Special Training Centers</t>
  </si>
  <si>
    <t>Total            (col 3+ 4+5+6)</t>
  </si>
  <si>
    <t>Total       (col. 8+9+ 10+11)</t>
  </si>
  <si>
    <t>Total       (col. 8+9+10+11)</t>
  </si>
  <si>
    <t>Total       (col.13+14+15+16)</t>
  </si>
  <si>
    <t>Table: AT-5 B</t>
  </si>
  <si>
    <t>Table: AT-5 C</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</si>
  <si>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</si>
  <si>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t>Table: AT-5 D</t>
  </si>
  <si>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</si>
  <si>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Including Drought also, if applicable</t>
  </si>
  <si>
    <t>Table: AT-6C</t>
  </si>
  <si>
    <t>**State Share</t>
  </si>
  <si>
    <t>**state share includes funds as well as monetary value of the commodities supplied by the State/UT</t>
  </si>
  <si>
    <t>**State</t>
  </si>
  <si>
    <t>** state share includes funds as well as monetary value of the commodities supplied by the State/UT</t>
  </si>
  <si>
    <t>No. of CCH having bank account</t>
  </si>
  <si>
    <t>No. of CCH recieving honorarium through Bank Account</t>
  </si>
  <si>
    <t>Rate  of Transportation Assistance (Per MT)</t>
  </si>
  <si>
    <t xml:space="preserve">Table: AT-11 : Sanction and Utilisation of Central assistance towards construction of Kitchen-cum-store (Primary &amp; Upper Primary,Classes I-VIII) </t>
  </si>
  <si>
    <t>Total sanctioned</t>
  </si>
  <si>
    <t>2009-10</t>
  </si>
  <si>
    <t>2010-11</t>
  </si>
  <si>
    <t>2011-12</t>
  </si>
  <si>
    <t xml:space="preserve">Table: AT-12 A : Sanction and Utilisation of Central assistance towards procurement of Kitchen Devices (Replacement) </t>
  </si>
  <si>
    <t>*Coarse Grains</t>
  </si>
  <si>
    <t>PAB Approval for CCH</t>
  </si>
  <si>
    <t>*No. of additional cooks required over and above PAB Approval</t>
  </si>
  <si>
    <t>Table: AT-18 : Formation of School Management Committee (SMC) at School Level for Monitoring the Scheme</t>
  </si>
  <si>
    <t>No. of Primary Institutions</t>
  </si>
  <si>
    <t>No. of SMCs formed</t>
  </si>
  <si>
    <t>No. of Schools monitored by SMCs</t>
  </si>
  <si>
    <t>No. of Upper Primary Institutions</t>
  </si>
  <si>
    <t>Table: AT-19 : Responsibility of Implementation</t>
  </si>
  <si>
    <t>No. of institution covered</t>
  </si>
  <si>
    <t>Name of NGO</t>
  </si>
  <si>
    <t>No. of Kitchens</t>
  </si>
  <si>
    <t>Name of Trust</t>
  </si>
  <si>
    <t>No. of schools covered under RBSK</t>
  </si>
  <si>
    <t>No. of children covered under RBSK</t>
  </si>
  <si>
    <t>Weekly Iron &amp; Folic Acid Supplementation (WIFS)</t>
  </si>
  <si>
    <t xml:space="preserve">Name of Organization/ Institute for conducting social audit </t>
  </si>
  <si>
    <t>No . of schools to be covered</t>
  </si>
  <si>
    <t>Total outlay (in Rs)</t>
  </si>
  <si>
    <t>Status</t>
  </si>
  <si>
    <t>Action Taken by State Govt. on findings</t>
  </si>
  <si>
    <t>Total Exp.     (in Rs)</t>
  </si>
  <si>
    <t>Completed (Yes/ No)</t>
  </si>
  <si>
    <t xml:space="preserve">In Progress (Training/ conduct at school/ public hearing)  </t>
  </si>
  <si>
    <t>Not yet started</t>
  </si>
  <si>
    <t>Number of complaints on discrimination on</t>
  </si>
  <si>
    <t xml:space="preserve">Source of information </t>
  </si>
  <si>
    <t xml:space="preserve">State functionaries </t>
  </si>
  <si>
    <t>MI Report</t>
  </si>
  <si>
    <t xml:space="preserve">Parent/Children/Community </t>
  </si>
  <si>
    <t xml:space="preserve">Media </t>
  </si>
  <si>
    <t>Social Audit Report</t>
  </si>
  <si>
    <t>LPG Reimbursement (Rs in Lakh)</t>
  </si>
  <si>
    <t>16</t>
  </si>
  <si>
    <t>17</t>
  </si>
  <si>
    <t>No. of IEC Activities</t>
  </si>
  <si>
    <t>Tools</t>
  </si>
  <si>
    <t>Expendituer Incurred (in Rs)</t>
  </si>
  <si>
    <t>District/ Block</t>
  </si>
  <si>
    <t>School</t>
  </si>
  <si>
    <t>Audio Video</t>
  </si>
  <si>
    <t>Print</t>
  </si>
  <si>
    <t>Traditional (Nukkad Natak, Folk Songs, Rallies, Others)</t>
  </si>
  <si>
    <t>No. of schools having hand washing facilities</t>
  </si>
  <si>
    <t>Type of hand washing facilities (number of schools)</t>
  </si>
  <si>
    <t>Multi tap</t>
  </si>
  <si>
    <t>Tap</t>
  </si>
  <si>
    <t>Hand pump</t>
  </si>
  <si>
    <t>Pond/ well/ Stream</t>
  </si>
  <si>
    <t>Teacher</t>
  </si>
  <si>
    <t>Community</t>
  </si>
  <si>
    <t>CCH</t>
  </si>
  <si>
    <t>Full meal in lieu of MDM</t>
  </si>
  <si>
    <t>Additional Food Item</t>
  </si>
  <si>
    <t xml:space="preserve">No. of schools received contribution </t>
  </si>
  <si>
    <t>Meals served</t>
  </si>
  <si>
    <t>Value
(In Rs)</t>
  </si>
  <si>
    <t>Children benefitted</t>
  </si>
  <si>
    <t>Name of the items</t>
  </si>
  <si>
    <t>In kind</t>
  </si>
  <si>
    <t>In any other form</t>
  </si>
  <si>
    <t>Reasons for Less payment Col. (7-9)</t>
  </si>
  <si>
    <t>Received</t>
  </si>
  <si>
    <t>Cooking Cost including LPG</t>
  </si>
  <si>
    <t>State / UT: Uttarakhand</t>
  </si>
  <si>
    <t>kitchen devices procured through convergence</t>
  </si>
  <si>
    <t>State/UT : Uttarakhand</t>
  </si>
  <si>
    <t>State (Yes/No) Give details</t>
  </si>
  <si>
    <t>District Education Officer(Elementary)</t>
  </si>
  <si>
    <t>Kitchen Devices (New)</t>
  </si>
  <si>
    <t>Kitchen Devices (Replacement)</t>
  </si>
  <si>
    <t>Cooking Assistance (gas)</t>
  </si>
  <si>
    <t>STC: RST/NRST/NCLP</t>
  </si>
  <si>
    <t>614 Kitchen by SSA</t>
  </si>
  <si>
    <t>Note: SLSMC has decided not to construct KS in 1094 schools having enrollment less than 10.</t>
  </si>
  <si>
    <t xml:space="preserve">100% GOI @ Rs. 1524.90/MTs
</t>
  </si>
  <si>
    <t>Rs in Lakhs</t>
  </si>
  <si>
    <t>Table: AT-11A</t>
  </si>
  <si>
    <t xml:space="preserve">Table: AT-11A : Utilisation of Central assistance towards construction of Kitchen-cum-store (Primary &amp; Upper Primary,Classes I-VIII) </t>
  </si>
  <si>
    <t>Rs 900.00</t>
  </si>
  <si>
    <t>*Total sanctioned during 2006-07  to 2015-16</t>
  </si>
  <si>
    <t>Table: AT-10 A</t>
  </si>
  <si>
    <r>
      <t xml:space="preserve">State/UT: </t>
    </r>
    <r>
      <rPr>
        <b/>
        <u/>
        <sz val="10"/>
        <rFont val="Arial"/>
        <family val="2"/>
      </rPr>
      <t>____________________</t>
    </r>
  </si>
  <si>
    <t xml:space="preserve">Number of </t>
  </si>
  <si>
    <t>Meetings of District level committee headed by the senior most Member of Parliament of Loksabha</t>
  </si>
  <si>
    <t>Meetings of District Steering cum Monitoring committee headed by District Megistrate</t>
  </si>
  <si>
    <t>Schools inspected by Govt. officials</t>
  </si>
  <si>
    <t>12*</t>
  </si>
  <si>
    <t>Date:______________</t>
  </si>
  <si>
    <t xml:space="preserve">State / UT: </t>
  </si>
  <si>
    <t xml:space="preserve">Name of the Accredited / Recognised lab engaged for testing </t>
  </si>
  <si>
    <t xml:space="preserve">Number of samples </t>
  </si>
  <si>
    <t>Result (No. of samples)</t>
  </si>
  <si>
    <t xml:space="preserve">Collected </t>
  </si>
  <si>
    <t>Tested</t>
  </si>
  <si>
    <t>Meeting norms</t>
  </si>
  <si>
    <t>Below norms</t>
  </si>
  <si>
    <t>.</t>
  </si>
  <si>
    <t>Date:___________________</t>
  </si>
  <si>
    <t>2016-17</t>
  </si>
  <si>
    <t xml:space="preserve">NOTE:- * District U.S Nagar MIS Coordinator has Resigned </t>
  </si>
  <si>
    <t>Government/UT Administration of _______________</t>
  </si>
  <si>
    <t>Date:_____________</t>
  </si>
  <si>
    <t xml:space="preserve">(Govt+LB)
Schools </t>
  </si>
  <si>
    <t>Date:________________</t>
  </si>
  <si>
    <t xml:space="preserve">Seal:                      </t>
  </si>
  <si>
    <t>Date:_______________</t>
  </si>
  <si>
    <t>Government/UT Administration of ____________</t>
  </si>
  <si>
    <t>Table: AT-12A</t>
  </si>
  <si>
    <t>Government/UT Administration of _____________</t>
  </si>
  <si>
    <t>Fire wood</t>
  </si>
  <si>
    <t>Solar cooker</t>
  </si>
  <si>
    <t xml:space="preserve">LPG </t>
  </si>
  <si>
    <t>Mode of cooking (No. of Schools)</t>
  </si>
  <si>
    <t>Total no. of Institutions</t>
  </si>
  <si>
    <t xml:space="preserve">Meals not served </t>
  </si>
  <si>
    <t>Whether allowance is paid to children</t>
  </si>
  <si>
    <t xml:space="preserve">Number of institutions </t>
  </si>
  <si>
    <t>No. of working days</t>
  </si>
  <si>
    <t xml:space="preserve">Number of children </t>
  </si>
  <si>
    <t xml:space="preserve"> Government/UT Administration of _____________</t>
  </si>
  <si>
    <t>Date:_______________________</t>
  </si>
  <si>
    <t xml:space="preserve">                      (Signature)</t>
  </si>
  <si>
    <t xml:space="preserve">                       Seal:</t>
  </si>
  <si>
    <t xml:space="preserve">           Seal:</t>
  </si>
  <si>
    <t xml:space="preserve"> Government/UT Administration of _________</t>
  </si>
  <si>
    <t>Madrasa /Maktabs</t>
  </si>
  <si>
    <t>PS+UPS-(0)</t>
  </si>
  <si>
    <t>Unit Cost @5000 per KD.</t>
  </si>
  <si>
    <t>Additional Honorarium of cooks</t>
  </si>
  <si>
    <t>State Govt. is Paying Rs. 1000 as an incentive to all cooks under MID day meal Scheme.</t>
  </si>
  <si>
    <t>Incentive of cooks</t>
  </si>
  <si>
    <t>PS+UPS</t>
  </si>
  <si>
    <t>Recived in state Govt. Account through Bank Challan</t>
  </si>
  <si>
    <t>Gunny bags (Khali Bore)</t>
  </si>
  <si>
    <t>STATE</t>
  </si>
  <si>
    <t>e-transfer</t>
  </si>
  <si>
    <t>PS+UPS (0)</t>
  </si>
  <si>
    <t>PS+UPS - (0)</t>
  </si>
  <si>
    <t>2017-18</t>
  </si>
  <si>
    <t>Annual Work Plan and Budget 2017-18</t>
  </si>
  <si>
    <t>Table: AT-2A</t>
  </si>
  <si>
    <t>MDM-PAB Approval for 2016-17</t>
  </si>
  <si>
    <t>Rs. 1100.00</t>
  </si>
  <si>
    <t>Rs. 2000.00</t>
  </si>
  <si>
    <t>Table - AT - 10B</t>
  </si>
  <si>
    <t>Table AT -10 C :Details of IEC Activities</t>
  </si>
  <si>
    <t>Table: AT- 10 C</t>
  </si>
  <si>
    <t>Table - AT - 10 C</t>
  </si>
  <si>
    <t>Table: AT-10D Manpower dedicated for MDMS</t>
  </si>
  <si>
    <t>Table AT- 13: Details of mode of cooking</t>
  </si>
  <si>
    <t>Table AT-13</t>
  </si>
  <si>
    <t>Table AT -14 : Quality, Safety and Hygiene</t>
  </si>
  <si>
    <t>Table: AT- 14</t>
  </si>
  <si>
    <t>Parents</t>
  </si>
  <si>
    <t>Tasting of food (number of schools)</t>
  </si>
  <si>
    <t>No. of schools having parents roaster</t>
  </si>
  <si>
    <t>No. of schools having tasting register</t>
  </si>
  <si>
    <t>Table: AT- 14 A</t>
  </si>
  <si>
    <t>Table: AT- 15</t>
  </si>
  <si>
    <t>Table AT -15 : Contribution by community in form of  Tithi Bhojan or any other similar practice</t>
  </si>
  <si>
    <t>Table: AT- 16</t>
  </si>
  <si>
    <t>Table - AT - 21</t>
  </si>
  <si>
    <t>Total (col 6+7)*</t>
  </si>
  <si>
    <t>* Total number of cook-cum-helper can not exceed the norms for engagement of cook-cum-helper</t>
  </si>
  <si>
    <t>Table: AT- 22</t>
  </si>
  <si>
    <t>Table AT -22 :Information on NGOs covering more than 20000 children</t>
  </si>
  <si>
    <t>Table-AT- 23</t>
  </si>
  <si>
    <t>Table AT - 24 : Details of discrimination of any kind in MDMS</t>
  </si>
  <si>
    <t>Table - AT - 24</t>
  </si>
  <si>
    <t>Table: AT- 25</t>
  </si>
  <si>
    <t>Table AT- 25: Details of Grievance Redressal cell</t>
  </si>
  <si>
    <t>Table: AT-26</t>
  </si>
  <si>
    <t>Table: AT-26 : Number of School Working Days (Primary,Classes I-V) for 2017-18</t>
  </si>
  <si>
    <t>Table: AT-26 A</t>
  </si>
  <si>
    <t>Table: AT-26A : Number of School Working Days (Upper Primary,Classes VI-VIII) for 2017-18</t>
  </si>
  <si>
    <t>Proposed number of children</t>
  </si>
  <si>
    <t>Table: AT-27</t>
  </si>
  <si>
    <t>Table: AT-27: Proposal for coverage of children and working days  for 2017-18  (Primary Classes, I-V)</t>
  </si>
  <si>
    <t>Table: AT-27A</t>
  </si>
  <si>
    <t>Table: AT-27 B</t>
  </si>
  <si>
    <t>Table: AT-27 C</t>
  </si>
  <si>
    <t>Table: AT-27B: Proposal for coverage of children  for NCLP Schools during 2017-18</t>
  </si>
  <si>
    <t>Table: AT-27C: Proposal for coverage of children and working day for primary (classes I-V)  in Drought affacted area during 2017-18</t>
  </si>
  <si>
    <t>Table: AT-27D: Proposal for coverage of children and working day for Upper primary (classes VI-VIII)  in Drought affacted area during 2017-18</t>
  </si>
  <si>
    <t>Table: AT-28</t>
  </si>
  <si>
    <t xml:space="preserve">Table: AT-28 A </t>
  </si>
  <si>
    <t>Table: AT-28 A: Requirement of kitchen cum stores as per Plinth Area Norm in the Primary and Upper Primary schools for the year 2017-18</t>
  </si>
  <si>
    <t>Note: State may indicate their plinth area and size of the kitchen-cum-store if theiy have any other other plinth area than mentioned in the table</t>
  </si>
  <si>
    <t>Table: AT-29</t>
  </si>
  <si>
    <t>Table: AT-29 : Requirement of Kitchen Devices during 2017-18 in Primary &amp; Upper Primary Schools</t>
  </si>
  <si>
    <t>Table: AT-30</t>
  </si>
  <si>
    <t>Table: AT 30:    Requirement of Cook cum Helpers for 2017-18</t>
  </si>
  <si>
    <t>Table: AT-31</t>
  </si>
  <si>
    <t>Table: AT-20 : Information on Cooking Agencies (Centralised Kitchen)</t>
  </si>
  <si>
    <t>Name of SHG</t>
  </si>
  <si>
    <t>No. of Institution covered</t>
  </si>
  <si>
    <t>Table-AT- 23 A</t>
  </si>
  <si>
    <t>No. of Institution for which daily data transferred to central server</t>
  </si>
  <si>
    <t>Table: AT-7: Utilisation of Cooking Cost* (Primary, Classes I-V) during 2016-17</t>
  </si>
  <si>
    <t>Table: AT-7A: Utilisation of Cooking cost* (Upper Primary Classes, VI-VIII) for 2016-17</t>
  </si>
  <si>
    <t xml:space="preserve">Table: AT-20 </t>
  </si>
  <si>
    <t>April,17</t>
  </si>
  <si>
    <t>May,17</t>
  </si>
  <si>
    <t>June,17</t>
  </si>
  <si>
    <t>July,17</t>
  </si>
  <si>
    <t>August,17</t>
  </si>
  <si>
    <t>September,17</t>
  </si>
  <si>
    <t>October,17</t>
  </si>
  <si>
    <t>November,17</t>
  </si>
  <si>
    <t>December,17</t>
  </si>
  <si>
    <t>January,18</t>
  </si>
  <si>
    <t>February,18</t>
  </si>
  <si>
    <t>March,18</t>
  </si>
  <si>
    <t>week</t>
  </si>
  <si>
    <t>EGG/Fruits/Milk/gudpapdi/ramdana ke ladu, etc</t>
  </si>
  <si>
    <t>PUNJAB BIOTECHNOLOGY INCUBATOR</t>
  </si>
  <si>
    <t>DEHRADUN</t>
  </si>
  <si>
    <t xml:space="preserve">Procured (C) </t>
  </si>
  <si>
    <t>UPS- 7</t>
  </si>
  <si>
    <t>No Enrollment- 7</t>
  </si>
  <si>
    <t xml:space="preserve">  @ 3000 per MT+VAT@7.5%</t>
  </si>
  <si>
    <t>Rs 1000 per month, 90:10, Rs 1000 additional by State Govt.</t>
  </si>
  <si>
    <t>State Govt. is Paying additional Honorarium Rs.2000 to all cooks under MID day meal scheme</t>
  </si>
  <si>
    <t>No. of school days 237</t>
  </si>
  <si>
    <t>Table AT -16 : Interuptions in serving of MDM and MDM allowance paid to children</t>
  </si>
  <si>
    <t>SMC/VEC / WEC</t>
  </si>
  <si>
    <t>Table AT 21 :Details of engagement and apportionment of honorarium to cook cum helpers (CCH) between schools and centralized kitchen.</t>
  </si>
  <si>
    <t>Table: AT-27A: Proposal for coverage of children and working days  for 2017-18  (Upper Primary,Classes VI-VIII)</t>
  </si>
  <si>
    <t>Table: AT-28: Requirement of kitchen-cum-stores in the Primary and Upper Primary schools for the year 2017-18</t>
  </si>
  <si>
    <t xml:space="preserve">Note: </t>
  </si>
  <si>
    <t xml:space="preserve">*Central Assistance Received from GoI </t>
  </si>
  <si>
    <t xml:space="preserve">* Expenditure           </t>
  </si>
  <si>
    <t>Atirikit Poshan</t>
  </si>
  <si>
    <t>Cooks uniform</t>
  </si>
  <si>
    <t xml:space="preserve"> As per Plinth area1, Kitchen Cum Store is  being proposed </t>
  </si>
  <si>
    <t>State Govt. is Paying additional uniform, Rs 1000 to all cooks under MID day meal Scheme</t>
  </si>
  <si>
    <t>State Govt. is Paying additional fooditem Rs 5 to all children covered under MID day meal Scheme</t>
  </si>
  <si>
    <t>i) Hiring charges of manpower at various levels/salary</t>
  </si>
  <si>
    <t>Central Share 
(6+9-12)</t>
  </si>
  <si>
    <t xml:space="preserve"> **State Share (7+10-13) </t>
  </si>
  <si>
    <t>Central             (6+9-12)</t>
  </si>
  <si>
    <t xml:space="preserve">**State (7+10-13) </t>
  </si>
  <si>
    <t>State Share (9+12-15)</t>
  </si>
  <si>
    <t>State Share(9+12-15)</t>
  </si>
  <si>
    <t>Central share(8+11-14)</t>
  </si>
  <si>
    <t>Note:</t>
  </si>
  <si>
    <t xml:space="preserve">* Bills raised by FCI </t>
  </si>
  <si>
    <t xml:space="preserve">       @4.13 Per child/day,90:10 (3.72+0.41)</t>
  </si>
  <si>
    <t xml:space="preserve">             @6.18 Per child/day, 90:10 (5.56+0.62)</t>
  </si>
  <si>
    <t>Table AT -14 A : Testing of Food Samples by accredited labs</t>
  </si>
  <si>
    <t>(Additional Plan for 44 New Madarsas)</t>
  </si>
  <si>
    <t>PS (4195 children)</t>
  </si>
  <si>
    <t>UPS (1825 children)</t>
  </si>
  <si>
    <t>PS+UPS (44)</t>
  </si>
  <si>
    <t>PS - 99.42 MT</t>
  </si>
  <si>
    <t>UPS- 64.88 MT</t>
  </si>
  <si>
    <t>PS - 91</t>
  </si>
  <si>
    <t>UPS - 53</t>
  </si>
  <si>
    <t>3.18</t>
  </si>
  <si>
    <t>4.39</t>
  </si>
  <si>
    <t>2.12</t>
  </si>
  <si>
    <t>3.49</t>
  </si>
  <si>
    <t>#Central Share</t>
  </si>
  <si>
    <t>#Centre</t>
  </si>
  <si>
    <t xml:space="preserve">There are some local festivals and fairs held in various districts wherein dissemination of information is made with respect to Mid Day Meal Programme to create awarness amongst masses and ensure community participation to make this scheme successful.
</t>
  </si>
  <si>
    <t xml:space="preserve">Note:  Parents tasting meals in schools are mentioned in food tasting register; no separate parents roster register is been maintained. </t>
  </si>
  <si>
    <t>Note:- 
             There are 182 water filters, 213 water filters (stainless steel), 01 water cooler, 01 water motor/Kitchen sink, 02 water pipe lines, 01 Eating device,  02  Dining tables and 86 ceiling fans have been distributed/contributed by various community members.</t>
  </si>
  <si>
    <t>Performance during 2017-18</t>
  </si>
  <si>
    <t>2018-19</t>
  </si>
  <si>
    <t>Annual Work Plan and Budget 2018-19</t>
  </si>
  <si>
    <t>Table AT-3: No. of Institutions in the State vis a vis Institutions serving MDM during 2017-18</t>
  </si>
  <si>
    <t>Table: AT-2 :  Details of  Provisions  in the State Budget 2017-18</t>
  </si>
  <si>
    <t>Table: AT-2A : Releasing of Funds from State to Directorate / Authority / District / Block / School level for 2017-18</t>
  </si>
  <si>
    <t>Table: AT-3A: No. of Institutions covered  (Primary, Classes I-V)  during 2017-18</t>
  </si>
  <si>
    <t>Table: AT-3B: No. of Institutions covered (Upper Primary with Primary, Classes I-VIII) during 2017-18</t>
  </si>
  <si>
    <t>Table: AT-3C: No. of Institutions covered (Upper Primary without Primary, Classes VI-VIII) during 2017-18</t>
  </si>
  <si>
    <t>Table: AT-4: Enrolment vis-à-vis opted for MDM  (Primary,Classes I- V) during 2017-18</t>
  </si>
  <si>
    <t>Enrolment (As on 30.09.2017)</t>
  </si>
  <si>
    <t>During 01.04.17 to 31.12.17</t>
  </si>
  <si>
    <t>Total Enrolment (As on 30.09.2017)</t>
  </si>
  <si>
    <t>Average number of children Availing MDM</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</si>
  <si>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</si>
  <si>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</si>
  <si>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</si>
  <si>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</si>
  <si>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</si>
  <si>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</si>
  <si>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</si>
  <si>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AT-5:  MDM-PAB Approval vs. PERFORMANCE (Primary, Classes I - V) during 2017-18</t>
  </si>
  <si>
    <t>MDM-PAB Approval for 2017-18</t>
  </si>
  <si>
    <t>Table: AT-5A:  MDM-PAB Approval vs. PERFORMANCE (Upper Primary, Classes VI to VIII) during 2017-18</t>
  </si>
  <si>
    <t>Table: AT-5 B:  PAB-MDM Approval vs. PERFORMANCE- STC (NCLP Schools) during 2017-18</t>
  </si>
  <si>
    <r>
      <t xml:space="preserve">No. of working days </t>
    </r>
    <r>
      <rPr>
        <b/>
        <sz val="8"/>
        <rFont val="Arial"/>
        <family val="2"/>
      </rPr>
      <t xml:space="preserve">(During 01.04.17 to 31.12.17)     </t>
    </r>
    <r>
      <rPr>
        <b/>
        <sz val="10"/>
        <rFont val="Arial"/>
        <family val="2"/>
      </rPr>
      <t xml:space="preserve">             </t>
    </r>
  </si>
  <si>
    <t>Table: AT-5 C:  PAB-MDM Approval vs. PERFORMANCE (Primary, Classes I - V) during 2017-18 - Drought</t>
  </si>
  <si>
    <t>Table: AT-5 D:  PAB-MDM Approval vs. PERFORMANCE (Upper Primary, Classes VI to VIII) during 2017-18 - Drought</t>
  </si>
  <si>
    <t>Gross Allocation for the  FY 2017-18</t>
  </si>
  <si>
    <t>Opening Balance as on 01.04.17</t>
  </si>
  <si>
    <t>Proposed to be engaged for the year 2018-19</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</si>
  <si>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</si>
  <si>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</si>
  <si>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</si>
  <si>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</si>
  <si>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</si>
  <si>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</si>
  <si>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No. of institutions where setting up of kitchen garden is proposed during 2018-19</t>
  </si>
  <si>
    <t>Foodgrains provided to children (In MT)</t>
  </si>
  <si>
    <t>Amount paid to children (in Rs)</t>
  </si>
  <si>
    <t>Table: AT-17 :Coverage under Rashtriya Bal Swasthya Karykram (School Health Programme) - 2017-18</t>
  </si>
  <si>
    <t>Others (Please specify)</t>
  </si>
  <si>
    <t>Table: AT- 23: Annual and  Monthly Data Entry Status in MDM-MIS : 2017-18</t>
  </si>
  <si>
    <t>Table: AT- 23A: Implementation of Automated Monitoring System during 2017-18</t>
  </si>
  <si>
    <t>Proposals for 2018-19</t>
  </si>
  <si>
    <t xml:space="preserve">Average number of children Availing MDM </t>
  </si>
  <si>
    <t>Residential/Self Management-4</t>
  </si>
  <si>
    <t>Schools Merged- 31</t>
  </si>
  <si>
    <t>Self Management-6</t>
  </si>
  <si>
    <t>Schools Merged- 6</t>
  </si>
  <si>
    <t>Residential/Self Management-6</t>
  </si>
  <si>
    <t>Opening Balance as on 01.04.2017</t>
  </si>
  <si>
    <t>Allocation for the year 2017-18</t>
  </si>
  <si>
    <t>Allocation for FY 2017-18</t>
  </si>
  <si>
    <t>Table: AT-9 : Utilisation of Central Assitance towards Transportation Assistance (Primary &amp; Upper Primary,Classes I-VIII) during 2017-18</t>
  </si>
  <si>
    <t>Opening balance as on 01.04.17</t>
  </si>
  <si>
    <t>Table: AT-10 A : Details of Meetings at district level during 2017-18</t>
  </si>
  <si>
    <t>Table AT - 10 B : Details of Social Audit during 2017-18</t>
  </si>
  <si>
    <t>USSTA
(UTTARAKHAND SOCIAL AUDIT ACCOUNTABLITY AND TRANSPERANCY)</t>
  </si>
  <si>
    <t>Yes</t>
  </si>
  <si>
    <t>April,18</t>
  </si>
  <si>
    <t>May,1</t>
  </si>
  <si>
    <t>June,18</t>
  </si>
  <si>
    <t>July,18</t>
  </si>
  <si>
    <t>August,18</t>
  </si>
  <si>
    <t>September,18</t>
  </si>
  <si>
    <t>October,18</t>
  </si>
  <si>
    <t>November,18</t>
  </si>
  <si>
    <t>December,18</t>
  </si>
  <si>
    <t>January,19</t>
  </si>
  <si>
    <t>February,19</t>
  </si>
  <si>
    <t>March,19</t>
  </si>
  <si>
    <t>Table: AT-6: Utilisation of foodgrains*  (Primary, Classes I-V) during 2017-18</t>
  </si>
  <si>
    <t xml:space="preserve">Closing Balance*                  (col.4+5-6)                         </t>
  </si>
  <si>
    <t xml:space="preserve">Closing Balance* (col.9+10-11)                         </t>
  </si>
  <si>
    <t>Table: AT-6A: Utilisation of foodgrains*  (Upper Primary, Classes VI-VIII) during 2017-18</t>
  </si>
  <si>
    <t>Table: AT-6B: PAYMENT OF COST OF FOOD GRAINS TO FCI (Primary and Upper Primary Classes I-VIII) during 2017-18</t>
  </si>
  <si>
    <t>Table: AT-6C: Utilisation of foodgrains-Coarse Grain during 2017-18</t>
  </si>
  <si>
    <t>*Total Allocation during 2006-07 to 2017-18</t>
  </si>
  <si>
    <t>*Total Sanction during 2011-12, to 2017-18</t>
  </si>
  <si>
    <t>Kheer, Banana, Sweets, Cake, Patties, Samosa, Pakori, Chai, Coffee, Pastries, Biscuits, Namkeens, Halwa, Chana, Frooti,
 Laddu, 
Apple, Chocolate, Chips, Toffee</t>
  </si>
  <si>
    <t>All Resolved</t>
  </si>
  <si>
    <t>Resolved</t>
  </si>
  <si>
    <t>Haridwar, US Nagar</t>
  </si>
  <si>
    <t>1 Resolved</t>
  </si>
  <si>
    <t>mdmcell.uttarakhand@gmail.com
mdmcell.uttarakhand2@gmail.com</t>
  </si>
  <si>
    <t>Kitchen devices sanctioned during 2006-07, to 2016-17 under MDM</t>
  </si>
  <si>
    <t>TOTAL</t>
  </si>
  <si>
    <t>Pulse 4
(name)</t>
  </si>
  <si>
    <t>Pulse 5
(name)</t>
  </si>
  <si>
    <t>Pulse 2
(name)</t>
  </si>
  <si>
    <t>Pulse 3
(name)</t>
  </si>
  <si>
    <t>Pulse 1
(name)</t>
  </si>
  <si>
    <t>Requirement of Pulses (in MTs)</t>
  </si>
  <si>
    <t>yy</t>
  </si>
  <si>
    <t>Maximum number of Institutions for which daily data transferred during the month</t>
  </si>
  <si>
    <t>Annual workplan and Budget proposal by State for 2018-19 MDM</t>
  </si>
  <si>
    <t>(As per Average coverage 2017-2018)</t>
  </si>
  <si>
    <t>(As per Best Quarter Oct-Dec 2017)</t>
  </si>
  <si>
    <t>PS (365687 children)</t>
  </si>
  <si>
    <t>PS - 8593.64 MT</t>
  </si>
  <si>
    <t>Engaged  in 2017-18</t>
  </si>
  <si>
    <t>Table: AT-32:  PAB-MDM Approval vs. PERFORMANCE (Primary Classes I to V) during 2017-18 - Drought</t>
  </si>
  <si>
    <t>District :</t>
  </si>
  <si>
    <t>Foodgrains</t>
  </si>
  <si>
    <t xml:space="preserve">Hon. to cook-cum-helpers </t>
  </si>
  <si>
    <t>Allocation</t>
  </si>
  <si>
    <t>Utilisation</t>
  </si>
  <si>
    <t>Allocation (Centre +State)</t>
  </si>
  <si>
    <t>Utilisation (Centre +State)</t>
  </si>
  <si>
    <t>Secretary of the Nodal Department</t>
  </si>
  <si>
    <t>Table: AT-32A</t>
  </si>
  <si>
    <t>Table: AT-32 A:  PAB-MDM Approval vs. PERFORMANCE (Upper Primary, Classes VI to VIII) during 2017-18 - Drought</t>
  </si>
  <si>
    <t>Table: AT-32</t>
  </si>
  <si>
    <t>Kitchen-cum-store sanctioned during 2006-07 to 2017-18</t>
  </si>
  <si>
    <t>Table: AT-1: GENERAL INFORMATION for 2017-18</t>
  </si>
  <si>
    <t>Budget Released till 31.03.2018</t>
  </si>
  <si>
    <t>(For the Period 01.04.17 to 31.3.18)</t>
  </si>
  <si>
    <t>During 01.04.17 to 31.3.18</t>
  </si>
  <si>
    <t>During 01.04.17 to 31.03.18</t>
  </si>
  <si>
    <t xml:space="preserve">No. of working days (During 1.4.17-31.03.18                             </t>
  </si>
  <si>
    <t xml:space="preserve">No. of working days (1.4.17-31.03.18)                         </t>
  </si>
  <si>
    <t>(For the Period 01.4.17 to 31.03.18)</t>
  </si>
  <si>
    <t>(For the Period 01.04.17 to 31.03.18)</t>
  </si>
  <si>
    <t>Unspent Balance as on 31.03.18</t>
  </si>
  <si>
    <t>(For the Period 01.4.17 to 31.03.18</t>
  </si>
  <si>
    <t>Table: AT-10 :  Utilisation of Central Assistance towards MME  (Primary &amp; Upper Primary,Classes I-VIII) during 2017-18</t>
  </si>
  <si>
    <t>* Allocation for  2017-18</t>
  </si>
  <si>
    <t>Unspent balance as on 31.03.18                  
 [Col: (4+5)-7]</t>
  </si>
  <si>
    <t>(As on 31st March, 2018)</t>
  </si>
  <si>
    <t>As on 31st March, 2018</t>
  </si>
  <si>
    <t>During 01.04.16 to 31.03.18</t>
  </si>
  <si>
    <t>Jan</t>
  </si>
  <si>
    <t>Feb</t>
  </si>
  <si>
    <t>Mar</t>
  </si>
  <si>
    <t>During 01.04.17 to 31.03.2018</t>
  </si>
  <si>
    <t>Table: AT- 10 F</t>
  </si>
  <si>
    <t>Table AT-10 F: Information on Drinking water facilites</t>
  </si>
  <si>
    <t>Total Schools</t>
  </si>
  <si>
    <t>Schools having drinking water facilities</t>
  </si>
  <si>
    <t>Schools having safe drinking water facilities</t>
  </si>
  <si>
    <t>Number of Schools having facility of water filtration</t>
  </si>
  <si>
    <t>Types of filtration* used (number of schools)</t>
  </si>
  <si>
    <t>Any Innovation for purification of water</t>
  </si>
  <si>
    <t>Source of Funds used</t>
  </si>
  <si>
    <t>Membrane technology Purification</t>
  </si>
  <si>
    <t>UV purification or e-boiling</t>
  </si>
  <si>
    <t>CSR</t>
  </si>
  <si>
    <t>Donations etc.</t>
  </si>
  <si>
    <t>RO</t>
  </si>
  <si>
    <t>UF</t>
  </si>
  <si>
    <t>Candle
 filter 
purifier</t>
  </si>
  <si>
    <t>Activated
 carbon filter 
purifier</t>
  </si>
  <si>
    <t>PS - 537</t>
  </si>
  <si>
    <t>No Enrollment- 502</t>
  </si>
  <si>
    <t>No Enrollment- 104</t>
  </si>
  <si>
    <t>UPS- 116</t>
  </si>
  <si>
    <t>UPS- 123</t>
  </si>
  <si>
    <t>No Enrollment- 111</t>
  </si>
  <si>
    <t>Providing by SSA</t>
  </si>
  <si>
    <t>Providing by RMSA</t>
  </si>
  <si>
    <t>Providing by Bank and MLA Funds</t>
  </si>
  <si>
    <t>Providing by Schools Teacher, Gram pradhan etc</t>
  </si>
  <si>
    <t>Providing by NDRF, ITBP</t>
  </si>
  <si>
    <t>Providing by Bank</t>
  </si>
  <si>
    <t>Providing Schools Teacher, SMC member etc</t>
  </si>
  <si>
    <t xml:space="preserve"> Providing Schools Teacher, Gram pradhan etc</t>
  </si>
  <si>
    <t>Providing Schools Teacher,Gram pradhan etc</t>
  </si>
  <si>
    <t>Providing by NGO</t>
  </si>
  <si>
    <t>Providing By Bank and MLA Funds</t>
  </si>
  <si>
    <t xml:space="preserve">Providing by Bank, Red Cross society </t>
  </si>
  <si>
    <t>Providing by SMC members and schools teachers</t>
  </si>
  <si>
    <t>Providing by Gram pradhan, school teachers etc</t>
  </si>
  <si>
    <t>Providing by private Firm</t>
  </si>
  <si>
    <t>Pulse 1
(Masoor Daal)</t>
  </si>
  <si>
    <t>Pulse 2
(Chana Daal)</t>
  </si>
  <si>
    <t>Pulse 3
(Arhar Daal)</t>
  </si>
  <si>
    <t>PS (356138 children)</t>
  </si>
  <si>
    <t>UPS (248816 children)</t>
  </si>
  <si>
    <t>UPS- 8770.76 MT</t>
  </si>
  <si>
    <t>PS - 8369.24 MT</t>
  </si>
  <si>
    <t>UPS (259866 children)</t>
  </si>
  <si>
    <t>UPS- 9160.28 MT</t>
  </si>
  <si>
    <t>Additional Plan
2018-19</t>
  </si>
  <si>
    <t>Almora, Dehradun, US Nagar</t>
  </si>
  <si>
    <t>2 Pending at district level</t>
  </si>
  <si>
    <t>Haridwar, Pauri, Nainital</t>
  </si>
  <si>
    <t>1 resolved</t>
  </si>
  <si>
    <t>Tehri, Chamoli</t>
  </si>
  <si>
    <t>4 pending</t>
  </si>
  <si>
    <t xml:space="preserve">Total Unspent Balance as on 31.03.2018   </t>
  </si>
  <si>
    <t xml:space="preserve">Allocation for 2017-18                                       </t>
  </si>
  <si>
    <t xml:space="preserve">Opening Balance as on 01.04.2017                                                   </t>
  </si>
  <si>
    <t xml:space="preserve">Total Unspent Balance as on 31.12.2017                                                  </t>
  </si>
  <si>
    <t>17485*</t>
  </si>
  <si>
    <t>*Total schools covered by mdm are 17664 but the figure of 17485 as shown in column 6, is less 157 Maqtab/Madarsas and 22 EGS/AIE Center.</t>
  </si>
  <si>
    <t>Waiting for report</t>
  </si>
  <si>
    <t>PS+UPS (2410)</t>
  </si>
  <si>
    <t>Table: AT-31 : Budget Provision for the Year 2018-19</t>
  </si>
  <si>
    <t>Incentive for cook cum helper (only state share)</t>
  </si>
  <si>
    <t>Extera one month honorarium to cook-cum helper</t>
  </si>
  <si>
    <t xml:space="preserve">Necessary instructions issued to districts </t>
  </si>
  <si>
    <t>PS - 18525</t>
  </si>
  <si>
    <t>UPS - 9975</t>
  </si>
  <si>
    <t>No. of school days 235</t>
  </si>
  <si>
    <t>Final Instalment</t>
  </si>
  <si>
    <t>Balance of final Instalment</t>
  </si>
  <si>
    <t>Release TA as per new rates</t>
  </si>
  <si>
    <t>State share Adhoc</t>
  </si>
  <si>
    <t>State share Ist Instalment</t>
  </si>
  <si>
    <t>State share Final Instalment</t>
  </si>
  <si>
    <t>Atariktha posan 100% state</t>
  </si>
  <si>
    <t>* cost of food grains bills of Feb &amp; Mar 2017 have also been paid during financial year 2017-18</t>
  </si>
  <si>
    <t>Unspent Balance as on 31.03.18 [Col. 4+ Col.5-Col.6] *</t>
  </si>
  <si>
    <t>* Government of india has released the transportation assistance @ Rs. 2516.49 MTs, according to the state average rate but the actual transportation rates in districts are different from state average rates.</t>
  </si>
  <si>
    <t>Physical           [col. 3-col.5-col.7] *</t>
  </si>
  <si>
    <t>In 2006-07 GOI has sanctioned 4164 units but the amount received only for 4163 units by GOI which was sufficient for 4163 units only.</t>
  </si>
  <si>
    <t>In 2006-07 and 2007-08, the amount of kitchen cum stores sanctioned @ 0.60 lakh but from the financial year 2010-11 to 2013-14, the sanctioned amount for kitchen cum stores in col. 7 and 13 will vary due to the variations in plinth area norms yearwise.</t>
  </si>
  <si>
    <t xml:space="preserve">* 27 kitchen cum stores are in excess out of total sanctioned 15933 units of kitchen cum stores by GOI. The main reason of being excess of 27 KCS is increasing the enrollment in district champawat (5 units), dehradun (14 units) and pauri (8 units). As a result, Total sanctioned (15933 units) - Constructed (15611 units) - In progress (63 units) - Yet to start (286 units) kitchen cum stores.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</si>
</sst>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Red]0.00"/>
    <numFmt numFmtId="166" formatCode="_-[$£-809]* #,##0.00_-;\-[$£-809]* #,##0.00_-;_-[$£-809]* &quot;-&quot;??_-;_-@_-"/>
    <numFmt numFmtId="167" formatCode="0.0%"/>
  </numFmts>
  <fonts count="1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i/>
      <sz val="11"/>
      <color indexed="8"/>
      <name val="Calibri"/>
      <family val="2"/>
    </font>
    <font>
      <b/>
      <i/>
      <sz val="11"/>
      <name val="Arial"/>
      <family val="2"/>
    </font>
    <font>
      <i/>
      <sz val="11"/>
      <name val="Arial"/>
      <family val="2"/>
    </font>
    <font>
      <b/>
      <i/>
      <sz val="11"/>
      <color indexed="8"/>
      <name val="Arial"/>
      <family val="2"/>
    </font>
    <font>
      <b/>
      <u/>
      <sz val="14"/>
      <color indexed="8"/>
      <name val="Arial"/>
      <family val="2"/>
    </font>
    <font>
      <b/>
      <sz val="10"/>
      <color indexed="8"/>
      <name val="Calibri"/>
      <family val="2"/>
    </font>
    <font>
      <b/>
      <u/>
      <sz val="14"/>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sz val="10"/>
      <color indexed="8"/>
      <name val="Arial"/>
      <family val="2"/>
    </font>
    <font>
      <b/>
      <sz val="26"/>
      <name val="Arial"/>
      <family val="2"/>
    </font>
    <font>
      <b/>
      <sz val="18"/>
      <name val="Arial"/>
      <family val="2"/>
    </font>
    <font>
      <sz val="18"/>
      <name val="Arial"/>
      <family val="2"/>
    </font>
    <font>
      <b/>
      <i/>
      <sz val="12"/>
      <name val="Arial"/>
      <family val="2"/>
    </font>
    <font>
      <b/>
      <sz val="14"/>
      <name val="Trebuchet MS"/>
      <family val="2"/>
    </font>
    <font>
      <sz val="14"/>
      <name val="Arial"/>
      <family val="2"/>
    </font>
    <font>
      <sz val="14"/>
      <color indexed="8"/>
      <name val="Arial"/>
      <family val="2"/>
    </font>
    <font>
      <b/>
      <sz val="8"/>
      <name val="Arial"/>
      <family val="2"/>
    </font>
    <font>
      <b/>
      <sz val="8"/>
      <color indexed="10"/>
      <name val="Arial"/>
      <family val="2"/>
    </font>
    <font>
      <b/>
      <sz val="10"/>
      <color indexed="10"/>
      <name val="Arial"/>
      <family val="2"/>
    </font>
    <font>
      <b/>
      <sz val="13"/>
      <name val="Arial"/>
      <family val="2"/>
    </font>
    <font>
      <b/>
      <sz val="9"/>
      <name val="Arial"/>
      <family val="2"/>
    </font>
    <font>
      <sz val="9"/>
      <name val="Arial"/>
      <family val="2"/>
    </font>
    <font>
      <b/>
      <i/>
      <sz val="9"/>
      <name val="Arial"/>
      <family val="2"/>
    </font>
    <font>
      <b/>
      <i/>
      <u/>
      <sz val="9"/>
      <name val="Arial"/>
      <family val="2"/>
    </font>
    <font>
      <b/>
      <u/>
      <sz val="9"/>
      <name val="Arial"/>
      <family val="2"/>
    </font>
    <font>
      <b/>
      <i/>
      <u/>
      <sz val="11"/>
      <name val="Arial"/>
      <family val="2"/>
    </font>
    <font>
      <sz val="9"/>
      <name val="Trebuchet MS"/>
      <family val="2"/>
    </font>
    <font>
      <b/>
      <sz val="11"/>
      <name val="Trebuchet MS"/>
      <family val="2"/>
    </font>
    <font>
      <b/>
      <sz val="14"/>
      <color indexed="8"/>
      <name val="Calibri"/>
      <family val="2"/>
    </font>
    <font>
      <sz val="12"/>
      <color indexed="8"/>
      <name val="Arial"/>
      <family val="2"/>
    </font>
    <font>
      <b/>
      <sz val="14"/>
      <color indexed="8"/>
      <name val="Arial"/>
      <family val="2"/>
    </font>
    <font>
      <b/>
      <sz val="13"/>
      <name val="Trebuchet MS"/>
      <family val="2"/>
    </font>
    <font>
      <sz val="36"/>
      <name val="Arial"/>
      <family val="2"/>
    </font>
    <font>
      <sz val="28"/>
      <name val="Arial"/>
      <family val="2"/>
    </font>
    <font>
      <i/>
      <sz val="11"/>
      <name val="Trebuchet MS"/>
      <family val="2"/>
    </font>
    <font>
      <sz val="11"/>
      <name val="Trebuchet MS"/>
      <family val="2"/>
    </font>
    <font>
      <sz val="11"/>
      <color theme="1"/>
      <name val="Calibri"/>
      <family val="2"/>
      <scheme val="minor"/>
    </font>
    <font>
      <u/>
      <sz val="10"/>
      <color theme="10"/>
      <name val="Arial"/>
      <family val="2"/>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i/>
      <sz val="10"/>
      <color theme="1"/>
      <name val="Cambria"/>
      <family val="1"/>
      <scheme val="major"/>
    </font>
    <font>
      <b/>
      <i/>
      <sz val="10"/>
      <color theme="1"/>
      <name val="Calibri"/>
      <family val="2"/>
      <scheme val="minor"/>
    </font>
    <font>
      <b/>
      <sz val="14"/>
      <color theme="1"/>
      <name val="Calibri"/>
      <family val="2"/>
      <scheme val="minor"/>
    </font>
    <font>
      <b/>
      <sz val="10"/>
      <color theme="1"/>
      <name val="Calibri"/>
      <family val="2"/>
      <scheme val="minor"/>
    </font>
    <font>
      <b/>
      <sz val="11"/>
      <name val="Calibri"/>
      <family val="2"/>
      <scheme val="minor"/>
    </font>
    <font>
      <sz val="10"/>
      <color theme="0"/>
      <name val="Arial"/>
      <family val="2"/>
    </font>
    <font>
      <b/>
      <sz val="10"/>
      <color rgb="FF00B050"/>
      <name val="Arial"/>
      <family val="2"/>
    </font>
    <font>
      <b/>
      <sz val="10"/>
      <name val="Calibri"/>
      <family val="2"/>
      <scheme val="minor"/>
    </font>
    <font>
      <sz val="10"/>
      <name val="Calibri"/>
      <family val="2"/>
      <scheme val="minor"/>
    </font>
    <font>
      <b/>
      <sz val="12"/>
      <color theme="1"/>
      <name val="Calibri"/>
      <family val="2"/>
      <scheme val="minor"/>
    </font>
    <font>
      <sz val="10"/>
      <color theme="1"/>
      <name val="Cambria"/>
      <family val="1"/>
      <scheme val="major"/>
    </font>
    <font>
      <b/>
      <sz val="11"/>
      <color theme="1"/>
      <name val="Cambria"/>
      <family val="1"/>
      <scheme val="major"/>
    </font>
    <font>
      <b/>
      <sz val="10"/>
      <color theme="1"/>
      <name val="Cambria"/>
      <family val="1"/>
      <scheme val="major"/>
    </font>
    <font>
      <sz val="10"/>
      <color rgb="FF00B050"/>
      <name val="Arial"/>
      <family val="2"/>
    </font>
    <font>
      <sz val="12"/>
      <name val="Calibri"/>
      <family val="2"/>
      <scheme val="minor"/>
    </font>
    <font>
      <sz val="10"/>
      <color rgb="FF000000"/>
      <name val="Arial"/>
      <family val="2"/>
    </font>
    <font>
      <b/>
      <sz val="12"/>
      <name val="Calibri"/>
      <family val="2"/>
      <scheme val="minor"/>
    </font>
    <font>
      <b/>
      <u/>
      <sz val="14"/>
      <color rgb="FF00B050"/>
      <name val="Arial"/>
      <family val="2"/>
    </font>
    <font>
      <sz val="11"/>
      <color rgb="FF000000"/>
      <name val="Calibri"/>
      <family val="2"/>
      <scheme val="minor"/>
    </font>
    <font>
      <b/>
      <sz val="11"/>
      <color theme="1"/>
      <name val="Arial"/>
      <family val="2"/>
    </font>
    <font>
      <b/>
      <sz val="16"/>
      <name val="Calibri"/>
      <family val="2"/>
      <scheme val="minor"/>
    </font>
    <font>
      <sz val="16"/>
      <name val="Calibri"/>
      <family val="2"/>
      <scheme val="minor"/>
    </font>
    <font>
      <b/>
      <i/>
      <sz val="16"/>
      <color indexed="8"/>
      <name val="Calibri"/>
      <family val="2"/>
      <scheme val="minor"/>
    </font>
    <font>
      <sz val="16"/>
      <color indexed="8"/>
      <name val="Calibri"/>
      <family val="2"/>
      <scheme val="minor"/>
    </font>
    <font>
      <b/>
      <sz val="16"/>
      <color indexed="8"/>
      <name val="Calibri"/>
      <family val="2"/>
      <scheme val="minor"/>
    </font>
    <font>
      <sz val="16"/>
      <color theme="1"/>
      <name val="Calibri"/>
      <family val="2"/>
      <scheme val="minor"/>
    </font>
    <font>
      <sz val="11"/>
      <name val="Calibri"/>
      <family val="2"/>
      <scheme val="minor"/>
    </font>
    <font>
      <b/>
      <sz val="10"/>
      <color theme="1"/>
      <name val="Arial"/>
      <family val="2"/>
    </font>
    <font>
      <sz val="11"/>
      <color theme="1"/>
      <name val="Arial"/>
      <family val="2"/>
    </font>
    <font>
      <b/>
      <u/>
      <sz val="16"/>
      <color rgb="FF00B050"/>
      <name val="Arial"/>
      <family val="2"/>
    </font>
    <font>
      <b/>
      <sz val="14"/>
      <color rgb="FF00B050"/>
      <name val="Trebuchet MS"/>
      <family val="2"/>
    </font>
    <font>
      <b/>
      <sz val="14"/>
      <color rgb="FF00B050"/>
      <name val="Arial"/>
      <family val="2"/>
    </font>
    <font>
      <b/>
      <u/>
      <sz val="12"/>
      <color rgb="FF00B050"/>
      <name val="Arial"/>
      <family val="2"/>
    </font>
    <font>
      <sz val="14"/>
      <color rgb="FF00B050"/>
      <name val="Arial"/>
      <family val="2"/>
    </font>
    <font>
      <b/>
      <u/>
      <sz val="14"/>
      <color rgb="FF92D050"/>
      <name val="Arial"/>
      <family val="2"/>
    </font>
    <font>
      <b/>
      <sz val="14"/>
      <color rgb="FF00B050"/>
      <name val="Calibri"/>
      <family val="2"/>
      <scheme val="minor"/>
    </font>
    <font>
      <b/>
      <sz val="16"/>
      <color rgb="FF00B050"/>
      <name val="Trebuchet MS"/>
      <family val="2"/>
    </font>
    <font>
      <sz val="14"/>
      <color rgb="FF92D050"/>
      <name val="Arial"/>
      <family val="2"/>
    </font>
    <font>
      <b/>
      <sz val="12"/>
      <color rgb="FF00B050"/>
      <name val="Trebuchet MS"/>
      <family val="2"/>
    </font>
    <font>
      <b/>
      <sz val="16"/>
      <color rgb="FF00B050"/>
      <name val="Calibri"/>
      <family val="2"/>
      <scheme val="minor"/>
    </font>
    <font>
      <b/>
      <sz val="26"/>
      <name val="Calibri"/>
      <family val="2"/>
      <scheme val="minor"/>
    </font>
    <font>
      <b/>
      <u/>
      <sz val="18"/>
      <color rgb="FF00B050"/>
      <name val="Arial"/>
      <family val="2"/>
    </font>
    <font>
      <b/>
      <sz val="14"/>
      <color rgb="FF92D050"/>
      <name val="Arial"/>
      <family val="2"/>
    </font>
    <font>
      <b/>
      <sz val="16"/>
      <color theme="0"/>
      <name val="Calibri"/>
      <family val="2"/>
      <scheme val="minor"/>
    </font>
    <font>
      <b/>
      <sz val="14"/>
      <color theme="0"/>
      <name val="Calibri"/>
      <family val="2"/>
      <scheme val="minor"/>
    </font>
    <font>
      <sz val="14"/>
      <color theme="0"/>
      <name val="Calibri"/>
      <family val="2"/>
      <scheme val="minor"/>
    </font>
    <font>
      <sz val="16"/>
      <color theme="0"/>
      <name val="Calibri"/>
      <family val="2"/>
      <scheme val="minor"/>
    </font>
    <font>
      <sz val="16"/>
      <color theme="0"/>
      <name val="Arial"/>
      <family val="2"/>
    </font>
    <font>
      <sz val="10"/>
      <color theme="1"/>
      <name val="Arial"/>
      <family val="2"/>
    </font>
    <font>
      <b/>
      <sz val="14"/>
      <color theme="1"/>
      <name val="Cambria"/>
      <family val="1"/>
      <scheme val="major"/>
    </font>
    <font>
      <sz val="14"/>
      <color theme="1"/>
      <name val="Cambria"/>
      <family val="1"/>
      <scheme val="major"/>
    </font>
    <font>
      <sz val="12"/>
      <color theme="1"/>
      <name val="Calibri"/>
      <family val="2"/>
      <scheme val="minor"/>
    </font>
    <font>
      <i/>
      <sz val="12"/>
      <name val="Calibri"/>
      <family val="2"/>
      <scheme val="minor"/>
    </font>
    <font>
      <sz val="12"/>
      <color theme="1"/>
      <name val="Cambria"/>
      <family val="1"/>
      <scheme val="major"/>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7379">
    <xf numFmtId="0" fontId="0" fillId="0" borderId="0"/>
    <xf numFmtId="0" fontId="68" fillId="0" borderId="0" applyNumberFormat="0" applyFill="0" applyBorder="0" applyAlignment="0" applyProtection="0">
      <alignment vertical="top"/>
      <protection locked="0"/>
    </xf>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67" fillId="0" borderId="0"/>
    <xf numFmtId="0" fontId="10" fillId="0" borderId="0"/>
    <xf numFmtId="0" fontId="10" fillId="0" borderId="0"/>
    <xf numFmtId="0" fontId="10"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10" fillId="0" borderId="0"/>
    <xf numFmtId="166" fontId="4" fillId="0" borderId="0"/>
    <xf numFmtId="166" fontId="4"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4" fillId="0" borderId="0"/>
    <xf numFmtId="166" fontId="10" fillId="0" borderId="0"/>
    <xf numFmtId="166" fontId="10" fillId="0" borderId="0"/>
    <xf numFmtId="166"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4" fillId="0" borderId="0"/>
    <xf numFmtId="166" fontId="4" fillId="0" borderId="0"/>
    <xf numFmtId="166" fontId="4" fillId="0" borderId="0"/>
    <xf numFmtId="166" fontId="10" fillId="0" borderId="0"/>
    <xf numFmtId="0" fontId="4" fillId="0" borderId="0"/>
    <xf numFmtId="0" fontId="4" fillId="0" borderId="0"/>
    <xf numFmtId="0" fontId="4" fillId="0" borderId="0"/>
    <xf numFmtId="0" fontId="4" fillId="0" borderId="0"/>
    <xf numFmtId="0" fontId="4" fillId="0" borderId="0"/>
    <xf numFmtId="0" fontId="4" fillId="0" borderId="0"/>
    <xf numFmtId="166" fontId="10" fillId="0" borderId="0"/>
    <xf numFmtId="0" fontId="4" fillId="0" borderId="0"/>
    <xf numFmtId="0" fontId="4" fillId="0" borderId="0"/>
    <xf numFmtId="0" fontId="4" fillId="0" borderId="0"/>
    <xf numFmtId="0" fontId="4" fillId="0" borderId="0"/>
    <xf numFmtId="0" fontId="4" fillId="0" borderId="0"/>
    <xf numFmtId="0"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4" fillId="0" borderId="0"/>
    <xf numFmtId="166" fontId="4" fillId="0" borderId="0"/>
    <xf numFmtId="166"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4" fillId="0" borderId="0"/>
    <xf numFmtId="166" fontId="10" fillId="0" borderId="0"/>
    <xf numFmtId="166" fontId="10" fillId="0" borderId="0"/>
    <xf numFmtId="166" fontId="10" fillId="0" borderId="0"/>
    <xf numFmtId="166" fontId="4" fillId="0" borderId="0"/>
    <xf numFmtId="0" fontId="10" fillId="0" borderId="0"/>
    <xf numFmtId="0" fontId="10" fillId="0" borderId="0"/>
    <xf numFmtId="0" fontId="10" fillId="0" borderId="0"/>
    <xf numFmtId="166"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4" fillId="0" borderId="0"/>
    <xf numFmtId="166" fontId="10" fillId="0" borderId="0"/>
    <xf numFmtId="0" fontId="4" fillId="0" borderId="0"/>
    <xf numFmtId="166" fontId="10" fillId="0" borderId="0"/>
    <xf numFmtId="166" fontId="10" fillId="0" borderId="0"/>
    <xf numFmtId="166" fontId="10" fillId="0" borderId="0"/>
    <xf numFmtId="0" fontId="10" fillId="0" borderId="0"/>
    <xf numFmtId="166" fontId="4" fillId="0" borderId="0"/>
    <xf numFmtId="166"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166" fontId="4" fillId="0" borderId="0"/>
    <xf numFmtId="166" fontId="4" fillId="0" borderId="0"/>
    <xf numFmtId="166" fontId="4" fillId="0" borderId="0"/>
    <xf numFmtId="0" fontId="10" fillId="0" borderId="0"/>
    <xf numFmtId="0" fontId="10" fillId="0" borderId="0"/>
    <xf numFmtId="0"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0"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0" fontId="4" fillId="0" borderId="0"/>
    <xf numFmtId="166" fontId="4" fillId="0" borderId="0"/>
    <xf numFmtId="166" fontId="4" fillId="0" borderId="0"/>
    <xf numFmtId="0" fontId="4" fillId="0" borderId="0"/>
    <xf numFmtId="0" fontId="4" fillId="0" borderId="0"/>
    <xf numFmtId="166" fontId="4" fillId="0" borderId="0"/>
    <xf numFmtId="166"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0" fontId="3" fillId="0" borderId="0"/>
    <xf numFmtId="0" fontId="1" fillId="0" borderId="0"/>
    <xf numFmtId="9" fontId="127" fillId="0" borderId="0" applyFont="0" applyFill="0" applyBorder="0" applyAlignment="0" applyProtection="0"/>
  </cellStyleXfs>
  <cellXfs count="1559">
    <xf numFmtId="0" fontId="0" fillId="0" borderId="0" xfId="0"/>
    <xf numFmtId="0" fontId="5"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vertical="top" wrapText="1"/>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0" fillId="0" borderId="1" xfId="0" applyBorder="1"/>
    <xf numFmtId="0" fontId="0" fillId="0" borderId="0" xfId="0" applyFill="1" applyBorder="1" applyAlignment="1">
      <alignment horizontal="left"/>
    </xf>
    <xf numFmtId="0" fontId="5" fillId="0" borderId="0" xfId="0" applyFont="1" applyBorder="1" applyAlignment="1">
      <alignment horizontal="center"/>
    </xf>
    <xf numFmtId="0" fontId="0" fillId="0" borderId="0" xfId="0" applyBorder="1"/>
    <xf numFmtId="0" fontId="9" fillId="0" borderId="0" xfId="0" applyFont="1"/>
    <xf numFmtId="0" fontId="5" fillId="0" borderId="0" xfId="0" applyFont="1"/>
    <xf numFmtId="0" fontId="10" fillId="0" borderId="0" xfId="0" applyFont="1"/>
    <xf numFmtId="0" fontId="5" fillId="0" borderId="0" xfId="0" applyFont="1" applyBorder="1" applyAlignment="1">
      <alignment horizontal="right"/>
    </xf>
    <xf numFmtId="0" fontId="10" fillId="0" borderId="1" xfId="0" applyFont="1" applyBorder="1"/>
    <xf numFmtId="0" fontId="10" fillId="0" borderId="0" xfId="0" applyFont="1" applyFill="1" applyBorder="1" applyAlignment="1">
      <alignment horizontal="left"/>
    </xf>
    <xf numFmtId="0" fontId="10" fillId="0" borderId="0" xfId="0" applyFont="1" applyBorder="1"/>
    <xf numFmtId="0" fontId="12" fillId="0" borderId="0" xfId="0" applyFont="1" applyAlignment="1">
      <alignment horizontal="center"/>
    </xf>
    <xf numFmtId="0" fontId="5" fillId="0" borderId="4" xfId="0" applyFont="1" applyFill="1" applyBorder="1" applyAlignment="1">
      <alignment horizontal="center" vertical="top" wrapText="1"/>
    </xf>
    <xf numFmtId="0" fontId="5" fillId="0" borderId="1" xfId="0" applyFont="1" applyBorder="1"/>
    <xf numFmtId="0" fontId="5" fillId="0" borderId="0" xfId="0" applyFont="1" applyBorder="1"/>
    <xf numFmtId="0" fontId="5" fillId="0" borderId="0" xfId="0" applyFont="1" applyAlignment="1">
      <alignment horizontal="left"/>
    </xf>
    <xf numFmtId="0" fontId="5" fillId="0" borderId="0" xfId="0" applyFont="1" applyAlignment="1">
      <alignment horizontal="right"/>
    </xf>
    <xf numFmtId="0" fontId="5" fillId="0" borderId="0" xfId="0" applyFont="1" applyFill="1" applyBorder="1" applyAlignment="1">
      <alignment horizontal="left"/>
    </xf>
    <xf numFmtId="0" fontId="5" fillId="0" borderId="0" xfId="0" applyFont="1" applyAlignment="1"/>
    <xf numFmtId="0" fontId="5" fillId="0" borderId="5" xfId="0" applyFont="1" applyBorder="1" applyAlignment="1">
      <alignment vertical="top" wrapText="1"/>
    </xf>
    <xf numFmtId="0" fontId="10" fillId="0" borderId="0" xfId="0" applyFont="1" applyAlignment="1">
      <alignment vertical="top" wrapText="1"/>
    </xf>
    <xf numFmtId="0" fontId="5" fillId="0" borderId="5" xfId="0" applyFont="1" applyBorder="1"/>
    <xf numFmtId="0" fontId="10" fillId="0" borderId="5" xfId="0" applyFont="1" applyBorder="1"/>
    <xf numFmtId="0" fontId="10" fillId="0" borderId="5" xfId="0" applyFont="1" applyBorder="1" applyAlignment="1">
      <alignment vertical="top" wrapText="1"/>
    </xf>
    <xf numFmtId="0" fontId="9" fillId="0" borderId="0" xfId="0" applyFont="1" applyAlignment="1">
      <alignment horizontal="center"/>
    </xf>
    <xf numFmtId="0" fontId="6" fillId="0" borderId="0" xfId="0" applyFont="1" applyAlignment="1">
      <alignment horizontal="right"/>
    </xf>
    <xf numFmtId="0" fontId="6" fillId="0" borderId="0" xfId="0" applyFont="1" applyAlignment="1"/>
    <xf numFmtId="0" fontId="14" fillId="0" borderId="0" xfId="0" applyFont="1" applyAlignment="1"/>
    <xf numFmtId="0" fontId="15" fillId="0" borderId="0" xfId="0" applyFont="1" applyAlignment="1"/>
    <xf numFmtId="0" fontId="8" fillId="0" borderId="0" xfId="0" applyFont="1" applyAlignment="1">
      <alignment horizontal="center" wrapText="1"/>
    </xf>
    <xf numFmtId="0" fontId="8" fillId="0" borderId="0" xfId="0" applyFont="1" applyAlignment="1">
      <alignment horizontal="center"/>
    </xf>
    <xf numFmtId="0" fontId="18" fillId="0" borderId="0" xfId="0" applyFont="1" applyAlignment="1">
      <alignment horizontal="left"/>
    </xf>
    <xf numFmtId="0" fontId="16" fillId="0" borderId="0" xfId="0" applyFont="1"/>
    <xf numFmtId="0" fontId="18" fillId="0" borderId="0" xfId="0" applyFont="1"/>
    <xf numFmtId="0" fontId="16" fillId="0" borderId="0" xfId="0" applyFont="1" applyBorder="1"/>
    <xf numFmtId="0" fontId="5" fillId="0" borderId="5" xfId="0" applyFont="1" applyBorder="1" applyAlignment="1">
      <alignment horizontal="center" vertical="top" wrapText="1"/>
    </xf>
    <xf numFmtId="0" fontId="16" fillId="0" borderId="0" xfId="0" applyFont="1" applyAlignment="1">
      <alignment horizontal="center" vertical="top" wrapText="1"/>
    </xf>
    <xf numFmtId="0" fontId="16" fillId="0" borderId="0" xfId="0" applyFont="1" applyAlignment="1">
      <alignment vertical="top" wrapText="1"/>
    </xf>
    <xf numFmtId="0" fontId="16" fillId="0" borderId="0" xfId="0" applyFont="1" applyBorder="1" applyAlignment="1">
      <alignment vertical="top" wrapText="1"/>
    </xf>
    <xf numFmtId="0" fontId="18" fillId="0" borderId="0" xfId="0" applyFont="1" applyFill="1" applyBorder="1" applyAlignment="1">
      <alignment vertical="top" wrapText="1"/>
    </xf>
    <xf numFmtId="0" fontId="16" fillId="0" borderId="0" xfId="0" applyFont="1" applyBorder="1" applyAlignment="1">
      <alignment horizontal="center" vertical="top" wrapText="1"/>
    </xf>
    <xf numFmtId="0" fontId="19" fillId="0" borderId="0" xfId="0" applyFont="1" applyAlignment="1">
      <alignment horizontal="center" vertical="top" wrapText="1"/>
    </xf>
    <xf numFmtId="0" fontId="15" fillId="0" borderId="0" xfId="0" applyFont="1"/>
    <xf numFmtId="0" fontId="13" fillId="0" borderId="0" xfId="0" applyFont="1"/>
    <xf numFmtId="0" fontId="20" fillId="0" borderId="0" xfId="0" applyFont="1"/>
    <xf numFmtId="0" fontId="10" fillId="0" borderId="0" xfId="0" quotePrefix="1" applyFont="1" applyBorder="1" applyAlignment="1">
      <alignment horizontal="center"/>
    </xf>
    <xf numFmtId="0" fontId="22" fillId="0" borderId="0" xfId="2" applyFont="1"/>
    <xf numFmtId="0" fontId="67" fillId="0" borderId="0" xfId="2"/>
    <xf numFmtId="0" fontId="23" fillId="0" borderId="0" xfId="2" applyFont="1"/>
    <xf numFmtId="0" fontId="5" fillId="0" borderId="0" xfId="0" applyFont="1" applyAlignment="1">
      <alignment vertical="top" wrapText="1"/>
    </xf>
    <xf numFmtId="0" fontId="10" fillId="0" borderId="0" xfId="4"/>
    <xf numFmtId="0" fontId="5" fillId="0" borderId="0" xfId="4" applyFont="1" applyAlignment="1">
      <alignment horizontal="center"/>
    </xf>
    <xf numFmtId="0" fontId="15" fillId="0" borderId="0" xfId="4" applyFont="1" applyAlignment="1">
      <alignment horizontal="center"/>
    </xf>
    <xf numFmtId="0" fontId="8" fillId="0" borderId="0" xfId="4" applyFont="1" applyAlignment="1">
      <alignment horizontal="center"/>
    </xf>
    <xf numFmtId="0" fontId="7" fillId="0" borderId="0" xfId="4" applyFont="1"/>
    <xf numFmtId="0" fontId="10" fillId="0" borderId="0" xfId="4" applyFill="1" applyBorder="1" applyAlignment="1">
      <alignment horizontal="left"/>
    </xf>
    <xf numFmtId="0" fontId="5" fillId="0" borderId="0" xfId="4" applyFont="1" applyBorder="1" applyAlignment="1">
      <alignment horizontal="center"/>
    </xf>
    <xf numFmtId="0" fontId="10" fillId="0" borderId="0" xfId="4" applyBorder="1"/>
    <xf numFmtId="0" fontId="9" fillId="0" borderId="0" xfId="4" applyFont="1"/>
    <xf numFmtId="0" fontId="5" fillId="0" borderId="0" xfId="4" applyFont="1"/>
    <xf numFmtId="0" fontId="6" fillId="0" borderId="0" xfId="4" applyFont="1" applyAlignment="1"/>
    <xf numFmtId="0" fontId="20" fillId="0" borderId="6" xfId="0" applyFont="1" applyBorder="1" applyAlignment="1"/>
    <xf numFmtId="0" fontId="5" fillId="0" borderId="7" xfId="0" applyFont="1" applyFill="1" applyBorder="1" applyAlignment="1">
      <alignment horizontal="center" vertical="top" wrapText="1"/>
    </xf>
    <xf numFmtId="0" fontId="10" fillId="0" borderId="1" xfId="0" applyFont="1" applyBorder="1" applyAlignment="1">
      <alignment horizontal="center" vertical="center" wrapText="1"/>
    </xf>
    <xf numFmtId="0" fontId="9" fillId="0" borderId="0" xfId="0" applyFont="1" applyAlignment="1"/>
    <xf numFmtId="0" fontId="22" fillId="0" borderId="1" xfId="2" applyFont="1" applyBorder="1"/>
    <xf numFmtId="0" fontId="22" fillId="0" borderId="0" xfId="2" applyFont="1" applyBorder="1"/>
    <xf numFmtId="0" fontId="20" fillId="0" borderId="0" xfId="0" applyFont="1" applyBorder="1" applyAlignment="1"/>
    <xf numFmtId="0" fontId="16" fillId="0" borderId="0" xfId="0" applyFont="1" applyBorder="1" applyAlignment="1"/>
    <xf numFmtId="0" fontId="5" fillId="0" borderId="0" xfId="0" applyFont="1" applyBorder="1" applyAlignment="1">
      <alignment horizontal="center" vertical="top" wrapText="1"/>
    </xf>
    <xf numFmtId="0" fontId="5" fillId="0" borderId="0" xfId="4" applyFont="1" applyBorder="1"/>
    <xf numFmtId="0" fontId="9" fillId="0" borderId="0" xfId="0" applyFont="1" applyBorder="1"/>
    <xf numFmtId="0" fontId="9" fillId="0" borderId="1" xfId="0" applyFont="1" applyBorder="1"/>
    <xf numFmtId="0" fontId="5" fillId="0" borderId="0" xfId="0" applyFont="1" applyAlignment="1">
      <alignment horizontal="right" vertical="top" wrapText="1"/>
    </xf>
    <xf numFmtId="0" fontId="5" fillId="0" borderId="0" xfId="0" applyFont="1" applyAlignment="1">
      <alignment horizontal="center" vertical="top" wrapText="1"/>
    </xf>
    <xf numFmtId="0" fontId="14" fillId="0" borderId="0" xfId="4" applyFont="1" applyAlignment="1"/>
    <xf numFmtId="0" fontId="20" fillId="0" borderId="0" xfId="0" applyFont="1" applyBorder="1" applyAlignment="1">
      <alignment horizontal="center"/>
    </xf>
    <xf numFmtId="0" fontId="9" fillId="0" borderId="6" xfId="0" applyFont="1" applyBorder="1" applyAlignment="1"/>
    <xf numFmtId="0" fontId="10" fillId="0" borderId="0" xfId="4" applyAlignment="1">
      <alignment horizontal="left"/>
    </xf>
    <xf numFmtId="0" fontId="9" fillId="0" borderId="0" xfId="4" applyFont="1" applyAlignment="1">
      <alignment vertical="top" wrapText="1"/>
    </xf>
    <xf numFmtId="0" fontId="17" fillId="0" borderId="0" xfId="0" applyFont="1" applyAlignment="1">
      <alignment horizontal="left"/>
    </xf>
    <xf numFmtId="0" fontId="10" fillId="0" borderId="0" xfId="2" applyFont="1"/>
    <xf numFmtId="0" fontId="8" fillId="0" borderId="0" xfId="2" applyFont="1" applyAlignment="1">
      <alignment horizontal="center"/>
    </xf>
    <xf numFmtId="0" fontId="12" fillId="0" borderId="0" xfId="2" applyFont="1"/>
    <xf numFmtId="0" fontId="28" fillId="0" borderId="0" xfId="0" applyFont="1" applyAlignment="1">
      <alignment vertical="top" wrapText="1"/>
    </xf>
    <xf numFmtId="0" fontId="26" fillId="0" borderId="0" xfId="2" applyFont="1" applyAlignment="1">
      <alignment horizontal="center"/>
    </xf>
    <xf numFmtId="0" fontId="10" fillId="0" borderId="1" xfId="0" applyFont="1" applyBorder="1" applyAlignment="1">
      <alignment horizontal="center" vertical="center"/>
    </xf>
    <xf numFmtId="0" fontId="5" fillId="0" borderId="8" xfId="0" applyFont="1" applyBorder="1" applyAlignment="1">
      <alignment vertical="top" wrapText="1"/>
    </xf>
    <xf numFmtId="0" fontId="0" fillId="0" borderId="0" xfId="0" applyAlignment="1">
      <alignment horizontal="center"/>
    </xf>
    <xf numFmtId="0" fontId="9" fillId="0" borderId="0" xfId="0" applyFont="1" applyBorder="1" applyAlignment="1"/>
    <xf numFmtId="0" fontId="10" fillId="0" borderId="0" xfId="0" applyFont="1" applyBorder="1" applyAlignment="1"/>
    <xf numFmtId="0" fontId="18" fillId="0" borderId="0" xfId="0" applyFont="1" applyAlignment="1">
      <alignment horizontal="center"/>
    </xf>
    <xf numFmtId="0" fontId="10" fillId="0" borderId="0" xfId="4" applyFont="1"/>
    <xf numFmtId="0" fontId="20" fillId="0" borderId="0" xfId="0" applyFont="1" applyAlignment="1">
      <alignment horizontal="center" vertical="top" wrapText="1"/>
    </xf>
    <xf numFmtId="0" fontId="10" fillId="0" borderId="0" xfId="5"/>
    <xf numFmtId="0" fontId="20" fillId="0" borderId="0" xfId="5" applyFont="1"/>
    <xf numFmtId="0" fontId="20" fillId="0" borderId="1" xfId="5" applyFont="1" applyBorder="1"/>
    <xf numFmtId="0" fontId="20" fillId="0" borderId="0" xfId="5" applyFont="1" applyBorder="1"/>
    <xf numFmtId="0" fontId="5" fillId="0" borderId="0" xfId="5" applyFont="1"/>
    <xf numFmtId="0" fontId="10" fillId="0" borderId="0" xfId="5" applyFill="1" applyBorder="1" applyAlignment="1">
      <alignment horizontal="left"/>
    </xf>
    <xf numFmtId="0" fontId="10" fillId="0" borderId="0" xfId="5" applyAlignment="1">
      <alignment horizontal="left"/>
    </xf>
    <xf numFmtId="0" fontId="10" fillId="0" borderId="0" xfId="6"/>
    <xf numFmtId="0" fontId="6" fillId="0" borderId="0" xfId="6" applyFont="1" applyAlignment="1">
      <alignment horizontal="right"/>
    </xf>
    <xf numFmtId="0" fontId="18" fillId="0" borderId="1" xfId="6" applyFont="1" applyBorder="1" applyAlignment="1">
      <alignment horizontal="center" vertical="center" wrapText="1"/>
    </xf>
    <xf numFmtId="0" fontId="5" fillId="0" borderId="1" xfId="6" applyFont="1" applyBorder="1" applyAlignment="1">
      <alignment horizontal="center" vertical="center"/>
    </xf>
    <xf numFmtId="0" fontId="16" fillId="0" borderId="0" xfId="6" applyFont="1" applyAlignment="1">
      <alignment horizontal="left"/>
    </xf>
    <xf numFmtId="0" fontId="70" fillId="0" borderId="0" xfId="0" applyFont="1" applyAlignment="1">
      <alignment horizontal="center"/>
    </xf>
    <xf numFmtId="0" fontId="35" fillId="0" borderId="0" xfId="0" applyFont="1"/>
    <xf numFmtId="0" fontId="36" fillId="0" borderId="0" xfId="0" applyFont="1" applyBorder="1" applyAlignment="1"/>
    <xf numFmtId="0" fontId="71" fillId="0" borderId="0" xfId="0" applyFont="1"/>
    <xf numFmtId="0" fontId="5" fillId="0" borderId="0" xfId="2" applyFont="1"/>
    <xf numFmtId="0" fontId="5" fillId="0" borderId="0" xfId="2" applyFont="1" applyAlignment="1">
      <alignment horizontal="center" vertical="top" wrapText="1"/>
    </xf>
    <xf numFmtId="0" fontId="5" fillId="0" borderId="0" xfId="2" applyFont="1" applyAlignment="1">
      <alignment horizontal="center"/>
    </xf>
    <xf numFmtId="0" fontId="9" fillId="0" borderId="0" xfId="2" applyFont="1"/>
    <xf numFmtId="0" fontId="5" fillId="0" borderId="0" xfId="2" applyFont="1" applyAlignment="1"/>
    <xf numFmtId="0" fontId="5" fillId="0" borderId="0" xfId="2" applyFont="1" applyBorder="1" applyAlignment="1"/>
    <xf numFmtId="0" fontId="5" fillId="0" borderId="0" xfId="2" applyFont="1" applyBorder="1"/>
    <xf numFmtId="0" fontId="5" fillId="0" borderId="0" xfId="2" applyFont="1" applyBorder="1" applyAlignment="1">
      <alignment horizontal="center" vertical="top" wrapText="1"/>
    </xf>
    <xf numFmtId="0" fontId="18" fillId="0" borderId="0" xfId="2" applyFont="1" applyBorder="1" applyAlignment="1">
      <alignment horizontal="left"/>
    </xf>
    <xf numFmtId="0" fontId="16" fillId="0" borderId="0" xfId="2" applyFont="1" applyBorder="1" applyAlignment="1"/>
    <xf numFmtId="0" fontId="5" fillId="0" borderId="0" xfId="2" applyFont="1" applyAlignment="1">
      <alignment vertical="top" wrapText="1"/>
    </xf>
    <xf numFmtId="0" fontId="5" fillId="0" borderId="0" xfId="2" applyFont="1" applyBorder="1" applyAlignment="1">
      <alignment horizontal="left" vertical="center"/>
    </xf>
    <xf numFmtId="0" fontId="5" fillId="0" borderId="0" xfId="2" applyFont="1" applyAlignment="1">
      <alignment horizontal="left" vertical="center"/>
    </xf>
    <xf numFmtId="0" fontId="33" fillId="0" borderId="0" xfId="0" applyFont="1" applyAlignment="1"/>
    <xf numFmtId="0" fontId="34" fillId="0" borderId="0" xfId="0" applyFont="1" applyAlignment="1"/>
    <xf numFmtId="0" fontId="72" fillId="0" borderId="0" xfId="0" applyFont="1" applyBorder="1" applyAlignment="1">
      <alignment vertical="top"/>
    </xf>
    <xf numFmtId="0" fontId="73" fillId="0" borderId="1" xfId="0" applyFont="1" applyBorder="1" applyAlignment="1">
      <alignment horizontal="center" vertical="center" wrapText="1"/>
    </xf>
    <xf numFmtId="0" fontId="74" fillId="0" borderId="0" xfId="0" applyFont="1" applyAlignment="1">
      <alignment horizontal="center"/>
    </xf>
    <xf numFmtId="0" fontId="75" fillId="0" borderId="0" xfId="0" applyFont="1" applyBorder="1" applyAlignment="1">
      <alignment horizontal="center" vertical="center"/>
    </xf>
    <xf numFmtId="0" fontId="69" fillId="0" borderId="0" xfId="0" applyFont="1"/>
    <xf numFmtId="0" fontId="76" fillId="0" borderId="0" xfId="0" applyFont="1" applyBorder="1" applyAlignment="1">
      <alignment horizontal="left" vertical="center" wrapText="1" indent="2"/>
    </xf>
    <xf numFmtId="0" fontId="76" fillId="0" borderId="0" xfId="0" applyFont="1" applyBorder="1" applyAlignment="1">
      <alignment vertical="center" wrapText="1"/>
    </xf>
    <xf numFmtId="0" fontId="76" fillId="0" borderId="1" xfId="0" applyFont="1" applyBorder="1" applyAlignment="1">
      <alignment horizontal="center" vertical="center" wrapText="1"/>
    </xf>
    <xf numFmtId="0" fontId="77" fillId="0" borderId="1" xfId="0" applyFont="1" applyBorder="1"/>
    <xf numFmtId="0" fontId="77" fillId="2" borderId="1" xfId="0" applyFont="1" applyFill="1" applyBorder="1"/>
    <xf numFmtId="2" fontId="10" fillId="0" borderId="0" xfId="0" applyNumberFormat="1" applyFont="1"/>
    <xf numFmtId="0" fontId="18" fillId="0" borderId="0" xfId="0" applyFont="1" applyAlignment="1">
      <alignment vertical="top" wrapText="1"/>
    </xf>
    <xf numFmtId="0" fontId="18" fillId="0" borderId="0" xfId="4" applyFont="1"/>
    <xf numFmtId="0" fontId="5" fillId="0" borderId="9" xfId="4" applyFont="1" applyBorder="1" applyAlignment="1">
      <alignment horizontal="center"/>
    </xf>
    <xf numFmtId="0" fontId="5" fillId="0" borderId="10" xfId="4" applyFont="1" applyBorder="1" applyAlignment="1">
      <alignment horizontal="center"/>
    </xf>
    <xf numFmtId="0" fontId="5" fillId="0" borderId="10" xfId="4" applyFont="1" applyBorder="1" applyAlignment="1">
      <alignment horizontal="center" vertical="center" wrapText="1"/>
    </xf>
    <xf numFmtId="0" fontId="5" fillId="0" borderId="9" xfId="4" applyFont="1" applyBorder="1" applyAlignment="1">
      <alignment horizontal="center" vertical="center" wrapText="1"/>
    </xf>
    <xf numFmtId="0" fontId="5" fillId="0" borderId="10" xfId="4" applyFont="1" applyBorder="1" applyAlignment="1">
      <alignment horizontal="center" vertical="center"/>
    </xf>
    <xf numFmtId="0" fontId="5" fillId="0" borderId="9" xfId="4" applyFont="1" applyBorder="1" applyAlignment="1">
      <alignment horizontal="center" vertical="center"/>
    </xf>
    <xf numFmtId="0" fontId="10" fillId="0" borderId="11" xfId="4" applyFont="1" applyBorder="1"/>
    <xf numFmtId="165" fontId="10" fillId="0" borderId="6" xfId="4" applyNumberFormat="1" applyBorder="1"/>
    <xf numFmtId="165" fontId="10" fillId="0" borderId="11" xfId="4" applyNumberFormat="1" applyBorder="1"/>
    <xf numFmtId="49" fontId="10" fillId="0" borderId="11" xfId="4" applyNumberFormat="1" applyFont="1" applyBorder="1"/>
    <xf numFmtId="0" fontId="10" fillId="0" borderId="12" xfId="4" applyFont="1" applyBorder="1"/>
    <xf numFmtId="165" fontId="10" fillId="0" borderId="7" xfId="4" applyNumberFormat="1" applyBorder="1"/>
    <xf numFmtId="165" fontId="10" fillId="0" borderId="12" xfId="4" applyNumberFormat="1" applyBorder="1"/>
    <xf numFmtId="0" fontId="10" fillId="0" borderId="12" xfId="4" applyBorder="1" applyAlignment="1">
      <alignment horizontal="left"/>
    </xf>
    <xf numFmtId="165" fontId="10" fillId="0" borderId="13" xfId="4" applyNumberFormat="1" applyBorder="1"/>
    <xf numFmtId="165" fontId="10" fillId="0" borderId="14" xfId="4" applyNumberFormat="1" applyBorder="1"/>
    <xf numFmtId="0" fontId="10" fillId="0" borderId="14" xfId="4" applyBorder="1"/>
    <xf numFmtId="0" fontId="10" fillId="0" borderId="14" xfId="4" applyBorder="1" applyAlignment="1">
      <alignment horizontal="center"/>
    </xf>
    <xf numFmtId="0" fontId="10" fillId="0" borderId="13" xfId="4" applyBorder="1"/>
    <xf numFmtId="0" fontId="5" fillId="0" borderId="15" xfId="4" applyFont="1" applyBorder="1" applyAlignment="1">
      <alignment horizontal="center"/>
    </xf>
    <xf numFmtId="0" fontId="5" fillId="0" borderId="9" xfId="4" applyFont="1" applyBorder="1"/>
    <xf numFmtId="0" fontId="5" fillId="0" borderId="10" xfId="4" applyFont="1" applyBorder="1"/>
    <xf numFmtId="165" fontId="5" fillId="0" borderId="9" xfId="4" applyNumberFormat="1" applyFont="1" applyBorder="1"/>
    <xf numFmtId="165" fontId="5" fillId="0" borderId="10" xfId="4" applyNumberFormat="1" applyFont="1" applyBorder="1"/>
    <xf numFmtId="0" fontId="5" fillId="0" borderId="16" xfId="4" applyFont="1" applyBorder="1"/>
    <xf numFmtId="49" fontId="10" fillId="0" borderId="12" xfId="4" applyNumberFormat="1" applyFont="1" applyBorder="1" applyAlignment="1">
      <alignment horizontal="center" vertical="center" wrapText="1"/>
    </xf>
    <xf numFmtId="49" fontId="10" fillId="0" borderId="11" xfId="4" applyNumberFormat="1" applyFont="1" applyBorder="1" applyAlignment="1">
      <alignment horizontal="center" vertical="center" wrapText="1"/>
    </xf>
    <xf numFmtId="0" fontId="25" fillId="0" borderId="0" xfId="2" applyFont="1"/>
    <xf numFmtId="0" fontId="15" fillId="0" borderId="0" xfId="0" applyFont="1" applyAlignment="1">
      <alignment horizontal="justify" vertical="top" wrapText="1"/>
    </xf>
    <xf numFmtId="0" fontId="10" fillId="0" borderId="0" xfId="0" applyFont="1" applyAlignment="1">
      <alignment horizontal="justify" vertical="top" wrapText="1"/>
    </xf>
    <xf numFmtId="0" fontId="0" fillId="0" borderId="0" xfId="0" applyAlignment="1">
      <alignment wrapText="1"/>
    </xf>
    <xf numFmtId="0" fontId="10" fillId="0" borderId="14" xfId="4" applyFont="1" applyBorder="1"/>
    <xf numFmtId="2" fontId="78" fillId="0" borderId="0" xfId="4" applyNumberFormat="1" applyFont="1"/>
    <xf numFmtId="0" fontId="16" fillId="0" borderId="1" xfId="6" applyFont="1" applyBorder="1" applyAlignment="1">
      <alignment horizontal="center" vertical="center" wrapText="1"/>
    </xf>
    <xf numFmtId="2" fontId="16" fillId="0" borderId="1" xfId="6" applyNumberFormat="1" applyFont="1" applyBorder="1" applyAlignment="1">
      <alignment horizontal="center" vertical="center" wrapText="1"/>
    </xf>
    <xf numFmtId="0" fontId="9" fillId="2" borderId="1" xfId="2" quotePrefix="1" applyFont="1" applyFill="1" applyBorder="1" applyAlignment="1">
      <alignment horizontal="center" vertical="center" wrapText="1"/>
    </xf>
    <xf numFmtId="0" fontId="43" fillId="2" borderId="2" xfId="2" quotePrefix="1" applyFont="1" applyFill="1" applyBorder="1" applyAlignment="1">
      <alignment horizontal="center" vertical="center" wrapText="1"/>
    </xf>
    <xf numFmtId="0" fontId="9" fillId="0" borderId="1" xfId="2" applyFont="1" applyBorder="1" applyAlignment="1">
      <alignment horizontal="center" vertical="center"/>
    </xf>
    <xf numFmtId="0" fontId="10" fillId="0" borderId="0" xfId="2" applyFont="1" applyBorder="1" applyAlignment="1"/>
    <xf numFmtId="0" fontId="9" fillId="0" borderId="0" xfId="2" applyFont="1" applyBorder="1" applyAlignment="1">
      <alignment horizontal="right"/>
    </xf>
    <xf numFmtId="0" fontId="9" fillId="0" borderId="0" xfId="2" applyFont="1" applyBorder="1"/>
    <xf numFmtId="0" fontId="9" fillId="0" borderId="0" xfId="0" applyFont="1" applyAlignment="1">
      <alignment horizontal="right" vertical="top" wrapText="1"/>
    </xf>
    <xf numFmtId="0" fontId="5" fillId="0" borderId="0" xfId="2" applyFont="1" applyAlignment="1">
      <alignment horizontal="left"/>
    </xf>
    <xf numFmtId="0" fontId="5" fillId="0" borderId="6" xfId="0" applyFont="1" applyBorder="1" applyAlignment="1"/>
    <xf numFmtId="0" fontId="6" fillId="0" borderId="0" xfId="5" applyFont="1" applyAlignment="1"/>
    <xf numFmtId="0" fontId="32" fillId="0" borderId="0" xfId="0" applyFont="1" applyAlignment="1">
      <alignment vertical="top" wrapText="1"/>
    </xf>
    <xf numFmtId="0" fontId="46" fillId="0" borderId="0" xfId="2" applyFont="1"/>
    <xf numFmtId="0" fontId="45" fillId="0" borderId="0" xfId="4" applyFont="1"/>
    <xf numFmtId="0" fontId="45" fillId="0" borderId="0" xfId="0" applyFont="1"/>
    <xf numFmtId="0" fontId="5" fillId="0" borderId="0" xfId="0" applyFont="1" applyBorder="1" applyAlignme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79" fillId="0" borderId="0" xfId="0" applyFont="1" applyBorder="1"/>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10" fillId="0" borderId="0" xfId="0" applyNumberFormat="1" applyFont="1"/>
    <xf numFmtId="2" fontId="10"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0" fontId="16" fillId="0" borderId="1" xfId="0" applyFont="1" applyBorder="1" applyAlignment="1">
      <alignment horizontal="center" vertical="center"/>
    </xf>
    <xf numFmtId="2" fontId="10" fillId="0" borderId="1" xfId="2" applyNumberFormat="1" applyFont="1" applyBorder="1" applyAlignment="1">
      <alignment horizontal="center" vertical="center"/>
    </xf>
    <xf numFmtId="2" fontId="5" fillId="0" borderId="1" xfId="2" applyNumberFormat="1"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19" xfId="4" applyFont="1" applyBorder="1" applyAlignment="1">
      <alignment horizontal="center" vertical="center" wrapText="1"/>
    </xf>
    <xf numFmtId="0" fontId="5" fillId="0" borderId="2" xfId="4" applyFont="1" applyBorder="1" applyAlignment="1">
      <alignment horizontal="center" vertical="center" wrapText="1"/>
    </xf>
    <xf numFmtId="0" fontId="5"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5" xfId="0" applyFont="1" applyBorder="1" applyAlignment="1">
      <alignment horizontal="center" vertical="center"/>
    </xf>
    <xf numFmtId="0" fontId="10" fillId="0" borderId="21" xfId="0" applyFon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5" fillId="0" borderId="20" xfId="0" applyFont="1" applyBorder="1" applyAlignment="1">
      <alignment horizontal="center" vertical="center"/>
    </xf>
    <xf numFmtId="2" fontId="10" fillId="0" borderId="5" xfId="0" applyNumberFormat="1" applyFont="1" applyBorder="1" applyAlignment="1">
      <alignment horizontal="center" vertical="center"/>
    </xf>
    <xf numFmtId="2" fontId="10" fillId="0" borderId="21" xfId="0" applyNumberFormat="1" applyFont="1" applyBorder="1" applyAlignment="1">
      <alignment horizontal="center" vertical="center"/>
    </xf>
    <xf numFmtId="2" fontId="10" fillId="0" borderId="12" xfId="0" applyNumberFormat="1" applyFont="1" applyBorder="1" applyAlignment="1">
      <alignment horizontal="center" vertical="center"/>
    </xf>
    <xf numFmtId="0" fontId="37" fillId="0" borderId="1" xfId="0" quotePrefix="1" applyFont="1" applyBorder="1" applyAlignment="1">
      <alignment horizontal="center" vertical="center" wrapText="1"/>
    </xf>
    <xf numFmtId="0" fontId="77" fillId="0" borderId="1" xfId="0" applyFont="1" applyBorder="1" applyAlignment="1">
      <alignment horizontal="center" vertical="center"/>
    </xf>
    <xf numFmtId="0" fontId="10" fillId="2" borderId="1" xfId="0" applyFont="1" applyFill="1" applyBorder="1" applyAlignment="1">
      <alignment horizontal="center" vertical="center"/>
    </xf>
    <xf numFmtId="0" fontId="77" fillId="2" borderId="1" xfId="0" applyFont="1" applyFill="1" applyBorder="1" applyAlignment="1">
      <alignment horizontal="center" vertical="center"/>
    </xf>
    <xf numFmtId="0" fontId="5" fillId="0" borderId="22" xfId="0" applyFont="1" applyBorder="1" applyAlignment="1">
      <alignment horizontal="center" vertical="center" wrapText="1"/>
    </xf>
    <xf numFmtId="0" fontId="10" fillId="0" borderId="3" xfId="0" applyFont="1" applyBorder="1" applyAlignment="1">
      <alignment horizontal="center" vertical="center"/>
    </xf>
    <xf numFmtId="0" fontId="80"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5" fillId="0" borderId="1" xfId="4" applyFont="1" applyBorder="1" applyAlignment="1">
      <alignment horizontal="center" vertical="center"/>
    </xf>
    <xf numFmtId="0" fontId="5" fillId="0" borderId="1" xfId="2" applyFont="1" applyBorder="1" applyAlignment="1">
      <alignment horizontal="center" vertical="center"/>
    </xf>
    <xf numFmtId="0" fontId="80" fillId="0" borderId="3" xfId="0" applyFont="1" applyBorder="1" applyAlignment="1">
      <alignment horizontal="center" vertical="center" wrapText="1"/>
    </xf>
    <xf numFmtId="49" fontId="80" fillId="0" borderId="3" xfId="0" applyNumberFormat="1" applyFont="1" applyBorder="1" applyAlignment="1">
      <alignment horizontal="center" vertical="center" wrapText="1"/>
    </xf>
    <xf numFmtId="0" fontId="5" fillId="0" borderId="15" xfId="4" applyFont="1" applyBorder="1" applyAlignment="1">
      <alignment horizontal="center" vertical="center"/>
    </xf>
    <xf numFmtId="0" fontId="10" fillId="0" borderId="14" xfId="4" applyFont="1" applyBorder="1" applyAlignment="1">
      <alignment horizontal="center" vertical="center"/>
    </xf>
    <xf numFmtId="164" fontId="78" fillId="0" borderId="0" xfId="4" applyNumberFormat="1" applyFont="1"/>
    <xf numFmtId="0" fontId="5" fillId="0" borderId="3" xfId="0" applyFont="1" applyBorder="1" applyAlignment="1">
      <alignment horizontal="center" vertical="center"/>
    </xf>
    <xf numFmtId="0" fontId="5" fillId="0" borderId="23"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24" xfId="0" applyFont="1" applyBorder="1" applyAlignment="1">
      <alignment horizontal="center" vertical="center"/>
    </xf>
    <xf numFmtId="0" fontId="69" fillId="0" borderId="1" xfId="0" applyFont="1" applyBorder="1" applyAlignment="1">
      <alignment horizontal="center" vertical="center" wrapText="1"/>
    </xf>
    <xf numFmtId="0" fontId="10" fillId="0" borderId="1" xfId="2" applyFont="1" applyBorder="1" applyAlignment="1">
      <alignment horizontal="center" vertical="center" wrapText="1"/>
    </xf>
    <xf numFmtId="0" fontId="13" fillId="0" borderId="1" xfId="0" applyFont="1" applyBorder="1" applyAlignment="1">
      <alignment horizontal="center" vertical="center" wrapText="1"/>
    </xf>
    <xf numFmtId="0" fontId="5" fillId="0" borderId="0" xfId="0" applyFont="1" applyAlignment="1">
      <alignment horizontal="center"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1" fontId="10" fillId="0" borderId="4" xfId="0" applyNumberFormat="1" applyFont="1" applyBorder="1" applyAlignment="1">
      <alignment horizontal="center" vertical="center"/>
    </xf>
    <xf numFmtId="1" fontId="5" fillId="0" borderId="1" xfId="0" applyNumberFormat="1" applyFont="1" applyBorder="1" applyAlignment="1">
      <alignment horizontal="center" vertical="center"/>
    </xf>
    <xf numFmtId="0" fontId="20" fillId="0" borderId="1" xfId="2" applyFont="1" applyBorder="1" applyAlignment="1">
      <alignment horizontal="center" vertical="center"/>
    </xf>
    <xf numFmtId="0" fontId="20" fillId="0" borderId="1" xfId="0" applyFont="1" applyBorder="1" applyAlignment="1">
      <alignment horizontal="center" vertical="center" wrapText="1"/>
    </xf>
    <xf numFmtId="2" fontId="10" fillId="0" borderId="0" xfId="0" applyNumberFormat="1" applyFont="1" applyAlignment="1">
      <alignment horizontal="center" vertical="center"/>
    </xf>
    <xf numFmtId="0" fontId="5" fillId="0" borderId="23" xfId="0" applyFont="1" applyFill="1" applyBorder="1" applyAlignment="1">
      <alignment horizontal="center" vertical="center" wrapText="1"/>
    </xf>
    <xf numFmtId="0" fontId="20" fillId="0" borderId="1" xfId="0" applyFont="1" applyBorder="1" applyAlignment="1">
      <alignment horizontal="center" vertical="center"/>
    </xf>
    <xf numFmtId="2" fontId="0" fillId="0" borderId="1" xfId="0" applyNumberFormat="1" applyBorder="1" applyAlignment="1">
      <alignment horizontal="center" vertical="center"/>
    </xf>
    <xf numFmtId="0" fontId="2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5" fillId="0" borderId="24" xfId="0" applyFont="1" applyBorder="1" applyAlignment="1">
      <alignment horizontal="center" vertical="center" wrapText="1"/>
    </xf>
    <xf numFmtId="1" fontId="10" fillId="0" borderId="1" xfId="0" applyNumberFormat="1" applyFont="1" applyBorder="1" applyAlignment="1">
      <alignment horizontal="center" vertical="center"/>
    </xf>
    <xf numFmtId="2" fontId="10" fillId="0" borderId="1" xfId="0" applyNumberFormat="1" applyFont="1" applyBorder="1" applyAlignment="1">
      <alignment horizontal="center" vertical="center" wrapText="1"/>
    </xf>
    <xf numFmtId="0" fontId="81" fillId="0" borderId="1" xfId="0" applyFont="1" applyBorder="1" applyAlignment="1">
      <alignment horizontal="center" vertical="center"/>
    </xf>
    <xf numFmtId="0" fontId="25" fillId="0" borderId="1" xfId="2" applyFont="1" applyBorder="1" applyAlignment="1">
      <alignment horizontal="center" vertical="center" wrapText="1"/>
    </xf>
    <xf numFmtId="0" fontId="29" fillId="0" borderId="1" xfId="2" applyFont="1" applyBorder="1" applyAlignment="1">
      <alignment horizontal="center" vertical="center" wrapText="1"/>
    </xf>
    <xf numFmtId="0" fontId="39" fillId="0" borderId="1" xfId="2" applyFont="1" applyBorder="1" applyAlignment="1">
      <alignment horizontal="center" vertical="center" wrapText="1"/>
    </xf>
    <xf numFmtId="0" fontId="29" fillId="0" borderId="23" xfId="2" applyFont="1" applyBorder="1" applyAlignment="1">
      <alignment horizontal="center" vertical="center"/>
    </xf>
    <xf numFmtId="0" fontId="29" fillId="0" borderId="25" xfId="2" applyFont="1" applyBorder="1" applyAlignment="1">
      <alignment horizontal="center" vertical="center" wrapText="1"/>
    </xf>
    <xf numFmtId="0" fontId="29" fillId="0" borderId="1" xfId="2" applyFont="1" applyBorder="1" applyAlignment="1">
      <alignment horizontal="center" vertical="center"/>
    </xf>
    <xf numFmtId="0" fontId="10" fillId="0" borderId="1" xfId="2" applyFont="1" applyBorder="1" applyAlignment="1">
      <alignment horizontal="center" vertical="center"/>
    </xf>
    <xf numFmtId="0" fontId="25" fillId="0" borderId="1" xfId="2" applyFont="1" applyBorder="1" applyAlignment="1">
      <alignment horizontal="center" vertical="center"/>
    </xf>
    <xf numFmtId="0" fontId="5" fillId="0" borderId="1" xfId="4" applyFont="1" applyBorder="1" applyAlignment="1">
      <alignment horizontal="center" vertical="center" wrapText="1"/>
    </xf>
    <xf numFmtId="0" fontId="10" fillId="0" borderId="1" xfId="4" applyFont="1" applyBorder="1" applyAlignment="1">
      <alignment horizontal="center" vertical="center" wrapText="1"/>
    </xf>
    <xf numFmtId="0" fontId="10" fillId="0" borderId="1" xfId="4" applyBorder="1" applyAlignment="1">
      <alignment horizontal="center" vertical="center"/>
    </xf>
    <xf numFmtId="0" fontId="10" fillId="0" borderId="1" xfId="4" applyFont="1" applyBorder="1" applyAlignment="1">
      <alignment horizontal="center" vertical="center"/>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0" borderId="7" xfId="5" applyFont="1" applyBorder="1" applyAlignment="1">
      <alignment horizontal="center" vertical="center" wrapText="1"/>
    </xf>
    <xf numFmtId="0" fontId="5" fillId="0" borderId="4" xfId="5" applyFont="1" applyBorder="1" applyAlignment="1">
      <alignment horizontal="center" vertical="center" wrapText="1"/>
    </xf>
    <xf numFmtId="0" fontId="5" fillId="0" borderId="1" xfId="5" applyFont="1" applyBorder="1" applyAlignment="1">
      <alignment horizontal="center" vertical="center"/>
    </xf>
    <xf numFmtId="0" fontId="5" fillId="2" borderId="1" xfId="2" applyFont="1" applyFill="1" applyBorder="1" applyAlignment="1">
      <alignment horizontal="center" vertical="center"/>
    </xf>
    <xf numFmtId="0" fontId="37" fillId="0" borderId="1" xfId="0" applyFont="1" applyBorder="1" applyAlignment="1">
      <alignment horizontal="center" vertical="center" wrapText="1"/>
    </xf>
    <xf numFmtId="0" fontId="9" fillId="0" borderId="1" xfId="2" applyFont="1" applyBorder="1" applyAlignment="1">
      <alignment horizontal="center" vertical="center" wrapText="1"/>
    </xf>
    <xf numFmtId="0" fontId="15" fillId="0" borderId="1" xfId="2" applyFont="1" applyBorder="1" applyAlignment="1">
      <alignment horizontal="center" vertical="center"/>
    </xf>
    <xf numFmtId="0" fontId="82" fillId="0" borderId="1" xfId="0" applyFont="1" applyBorder="1" applyAlignment="1">
      <alignment horizontal="center" vertical="center" wrapText="1"/>
    </xf>
    <xf numFmtId="0" fontId="69" fillId="0" borderId="3" xfId="0" applyFont="1" applyBorder="1" applyAlignment="1">
      <alignment horizontal="center" vertical="center" wrapText="1"/>
    </xf>
    <xf numFmtId="0" fontId="10" fillId="0" borderId="13" xfId="4" applyFont="1" applyBorder="1" applyAlignment="1">
      <alignment horizontal="center" vertical="center"/>
    </xf>
    <xf numFmtId="165" fontId="5" fillId="0" borderId="9" xfId="4" applyNumberFormat="1" applyFont="1" applyBorder="1" applyAlignment="1">
      <alignment horizontal="center" vertical="center"/>
    </xf>
    <xf numFmtId="165" fontId="5" fillId="0" borderId="10" xfId="4" applyNumberFormat="1" applyFont="1" applyBorder="1" applyAlignment="1">
      <alignment horizontal="center" vertical="center"/>
    </xf>
    <xf numFmtId="2" fontId="10" fillId="0" borderId="0" xfId="5" applyNumberFormat="1"/>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top" wrapText="1"/>
    </xf>
    <xf numFmtId="0" fontId="16" fillId="0" borderId="0" xfId="0" applyFont="1" applyBorder="1" applyAlignment="1">
      <alignment horizontal="center"/>
    </xf>
    <xf numFmtId="0" fontId="18" fillId="0" borderId="0" xfId="0" applyFont="1" applyBorder="1" applyAlignment="1">
      <alignment horizontal="center"/>
    </xf>
    <xf numFmtId="0" fontId="5" fillId="0" borderId="6" xfId="0" applyFont="1" applyBorder="1" applyAlignment="1">
      <alignment horizontal="center" vertical="center"/>
    </xf>
    <xf numFmtId="0" fontId="0" fillId="0" borderId="0" xfId="0" applyAlignment="1"/>
    <xf numFmtId="0" fontId="10" fillId="0" borderId="0" xfId="0" applyFont="1" applyAlignment="1">
      <alignment vertical="center"/>
    </xf>
    <xf numFmtId="0" fontId="10" fillId="0" borderId="3" xfId="0" applyFont="1" applyBorder="1"/>
    <xf numFmtId="0" fontId="17" fillId="0" borderId="0" xfId="0" applyFont="1" applyAlignment="1"/>
    <xf numFmtId="0" fontId="17" fillId="0" borderId="0" xfId="0" applyFont="1" applyAlignment="1">
      <alignment horizontal="center"/>
    </xf>
    <xf numFmtId="0" fontId="0" fillId="0" borderId="1" xfId="0" applyFill="1" applyBorder="1" applyAlignment="1">
      <alignment horizontal="center" vertical="center"/>
    </xf>
    <xf numFmtId="0" fontId="23" fillId="0" borderId="2" xfId="2" applyFont="1" applyBorder="1" applyAlignment="1">
      <alignment horizontal="center" vertical="center" wrapText="1"/>
    </xf>
    <xf numFmtId="0" fontId="0" fillId="0" borderId="1" xfId="0" applyBorder="1" applyAlignment="1">
      <alignment horizontal="center"/>
    </xf>
    <xf numFmtId="0" fontId="0" fillId="0" borderId="1" xfId="0" quotePrefix="1" applyBorder="1" applyAlignment="1">
      <alignment horizontal="center"/>
    </xf>
    <xf numFmtId="0" fontId="5" fillId="2" borderId="1" xfId="0" applyFont="1" applyFill="1" applyBorder="1" applyAlignment="1">
      <alignment horizontal="center" vertical="center" wrapText="1"/>
    </xf>
    <xf numFmtId="0" fontId="25" fillId="0" borderId="23" xfId="2" applyFont="1" applyBorder="1" applyAlignment="1">
      <alignment horizontal="center" vertical="top" wrapText="1"/>
    </xf>
    <xf numFmtId="0" fontId="5" fillId="0" borderId="1" xfId="4" applyFont="1" applyBorder="1" applyAlignment="1">
      <alignment horizontal="center" vertical="top" wrapText="1"/>
    </xf>
    <xf numFmtId="0" fontId="20" fillId="0" borderId="0" xfId="4" applyFont="1" applyAlignment="1">
      <alignment horizontal="right"/>
    </xf>
    <xf numFmtId="0" fontId="10" fillId="0" borderId="1" xfId="4" applyBorder="1"/>
    <xf numFmtId="0" fontId="70" fillId="0" borderId="1" xfId="0" applyFont="1" applyBorder="1" applyAlignment="1">
      <alignment horizontal="center"/>
    </xf>
    <xf numFmtId="0" fontId="83" fillId="0" borderId="23" xfId="0" applyFont="1" applyBorder="1" applyAlignment="1">
      <alignment vertical="center" wrapText="1"/>
    </xf>
    <xf numFmtId="0" fontId="83" fillId="0" borderId="1" xfId="0" applyFont="1" applyBorder="1" applyAlignment="1">
      <alignment vertical="center" wrapText="1"/>
    </xf>
    <xf numFmtId="0" fontId="37" fillId="0" borderId="1" xfId="0" quotePrefix="1" applyFont="1" applyBorder="1" applyAlignment="1">
      <alignment horizontal="center" vertical="top" wrapText="1"/>
    </xf>
    <xf numFmtId="0" fontId="5" fillId="0" borderId="7" xfId="0" applyFont="1" applyBorder="1" applyAlignment="1">
      <alignment horizontal="center" vertical="center"/>
    </xf>
    <xf numFmtId="0" fontId="10" fillId="0" borderId="0" xfId="0" applyFont="1" applyAlignment="1">
      <alignment horizontal="center"/>
    </xf>
    <xf numFmtId="0" fontId="84" fillId="0" borderId="1" xfId="0" applyFont="1" applyBorder="1" applyAlignment="1">
      <alignment horizontal="center" vertical="center" wrapText="1"/>
    </xf>
    <xf numFmtId="0" fontId="84" fillId="0" borderId="2" xfId="0" applyFont="1" applyBorder="1" applyAlignment="1">
      <alignment horizontal="center" vertical="center" wrapText="1"/>
    </xf>
    <xf numFmtId="2" fontId="5" fillId="0" borderId="5" xfId="0" applyNumberFormat="1" applyFont="1" applyBorder="1" applyAlignment="1">
      <alignment horizontal="center" vertical="center"/>
    </xf>
    <xf numFmtId="2" fontId="5" fillId="0" borderId="7"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4" xfId="0" applyNumberFormat="1" applyFont="1" applyBorder="1" applyAlignment="1">
      <alignment horizontal="center" vertical="center"/>
    </xf>
    <xf numFmtId="2" fontId="5" fillId="0" borderId="7" xfId="0" applyNumberFormat="1" applyFont="1" applyBorder="1" applyAlignment="1">
      <alignment horizontal="center" vertical="center" wrapText="1"/>
    </xf>
    <xf numFmtId="0" fontId="5"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2" fontId="5" fillId="0" borderId="12" xfId="0" applyNumberFormat="1" applyFont="1" applyBorder="1" applyAlignment="1">
      <alignment horizontal="center" vertical="center" wrapText="1"/>
    </xf>
    <xf numFmtId="0" fontId="5" fillId="0" borderId="27" xfId="0" applyFont="1" applyBorder="1" applyAlignment="1">
      <alignment horizontal="center" vertical="center"/>
    </xf>
    <xf numFmtId="2" fontId="10" fillId="0" borderId="23" xfId="0" applyNumberFormat="1" applyFont="1" applyBorder="1" applyAlignment="1">
      <alignment horizontal="center" vertical="center"/>
    </xf>
    <xf numFmtId="2" fontId="10" fillId="0" borderId="28" xfId="0" applyNumberFormat="1" applyFont="1" applyBorder="1" applyAlignment="1">
      <alignment horizontal="center" vertical="center"/>
    </xf>
    <xf numFmtId="2" fontId="5" fillId="0" borderId="11" xfId="0" applyNumberFormat="1" applyFont="1" applyBorder="1" applyAlignment="1">
      <alignment horizontal="center" vertical="center"/>
    </xf>
    <xf numFmtId="0" fontId="5" fillId="0" borderId="0" xfId="0" applyFont="1" applyAlignment="1">
      <alignment vertical="center"/>
    </xf>
    <xf numFmtId="49" fontId="10" fillId="0" borderId="14" xfId="4"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2" fontId="5" fillId="0" borderId="23" xfId="0" applyNumberFormat="1" applyFont="1" applyBorder="1" applyAlignment="1">
      <alignment horizontal="center" vertical="center" wrapText="1"/>
    </xf>
    <xf numFmtId="0" fontId="67" fillId="0" borderId="0" xfId="2" applyBorder="1" applyAlignment="1"/>
    <xf numFmtId="0" fontId="5" fillId="0" borderId="0" xfId="2" applyFont="1" applyAlignment="1">
      <alignment horizontal="right"/>
    </xf>
    <xf numFmtId="0" fontId="83" fillId="0" borderId="23" xfId="0" applyFont="1" applyBorder="1" applyAlignment="1">
      <alignment horizontal="center" vertical="center" wrapText="1"/>
    </xf>
    <xf numFmtId="0" fontId="85" fillId="0" borderId="1" xfId="0" applyFont="1" applyBorder="1" applyAlignment="1">
      <alignment horizontal="center" vertical="center" wrapText="1"/>
    </xf>
    <xf numFmtId="0" fontId="86" fillId="0" borderId="0" xfId="0" applyFont="1"/>
    <xf numFmtId="0" fontId="5" fillId="0" borderId="1" xfId="2" applyFont="1" applyBorder="1"/>
    <xf numFmtId="0" fontId="5" fillId="0" borderId="0" xfId="2"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7" fillId="0" borderId="1" xfId="0" applyFont="1" applyBorder="1" applyAlignment="1">
      <alignment horizontal="center" vertical="center"/>
    </xf>
    <xf numFmtId="0" fontId="16"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88" fillId="0" borderId="63" xfId="0" applyFont="1" applyFill="1" applyBorder="1" applyAlignment="1">
      <alignment horizontal="center" vertical="center" wrapText="1"/>
    </xf>
    <xf numFmtId="0" fontId="0" fillId="0" borderId="1" xfId="0" applyFont="1" applyFill="1" applyBorder="1" applyAlignment="1">
      <alignment horizontal="center" vertical="center"/>
    </xf>
    <xf numFmtId="0" fontId="88" fillId="0" borderId="1" xfId="0" applyFont="1" applyBorder="1" applyAlignment="1">
      <alignment horizontal="center" vertical="center" wrapText="1" readingOrder="1"/>
    </xf>
    <xf numFmtId="0" fontId="88" fillId="0" borderId="1" xfId="0" applyFont="1" applyBorder="1" applyAlignment="1">
      <alignment horizontal="center" vertical="center" wrapText="1"/>
    </xf>
    <xf numFmtId="0" fontId="10" fillId="0" borderId="0" xfId="2" applyFont="1" applyAlignment="1">
      <alignment horizontal="center" vertical="center"/>
    </xf>
    <xf numFmtId="0" fontId="10" fillId="0" borderId="1" xfId="2" applyFont="1" applyFill="1" applyBorder="1" applyAlignment="1">
      <alignment horizontal="center" vertical="center"/>
    </xf>
    <xf numFmtId="0" fontId="10" fillId="0" borderId="25" xfId="0" applyFont="1" applyFill="1" applyBorder="1" applyAlignment="1">
      <alignment horizontal="center" vertical="center"/>
    </xf>
    <xf numFmtId="0" fontId="16" fillId="0" borderId="1" xfId="0" applyFont="1" applyBorder="1" applyAlignment="1">
      <alignment horizontal="left" vertical="center" wrapText="1"/>
    </xf>
    <xf numFmtId="0" fontId="16" fillId="0" borderId="1" xfId="8" applyFont="1" applyFill="1" applyBorder="1" applyAlignment="1">
      <alignment horizontal="center" vertical="center"/>
    </xf>
    <xf numFmtId="0" fontId="16" fillId="0" borderId="1" xfId="0" applyFont="1" applyFill="1" applyBorder="1" applyAlignment="1">
      <alignment horizontal="center" vertical="center" wrapText="1"/>
    </xf>
    <xf numFmtId="2" fontId="16" fillId="0" borderId="1" xfId="0" applyNumberFormat="1" applyFont="1" applyBorder="1" applyAlignment="1">
      <alignment horizontal="center" vertical="center"/>
    </xf>
    <xf numFmtId="2" fontId="18"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left"/>
    </xf>
    <xf numFmtId="0" fontId="5" fillId="2" borderId="0" xfId="0" applyFont="1" applyFill="1" applyBorder="1"/>
    <xf numFmtId="0" fontId="10" fillId="2" borderId="0" xfId="0" applyFont="1" applyFill="1" applyBorder="1"/>
    <xf numFmtId="0" fontId="10" fillId="2" borderId="0" xfId="0" applyFont="1" applyFill="1"/>
    <xf numFmtId="0" fontId="5" fillId="2" borderId="0" xfId="0" applyFont="1" applyFill="1"/>
    <xf numFmtId="0" fontId="5" fillId="2" borderId="0" xfId="0" applyFont="1" applyFill="1" applyBorder="1" applyAlignment="1">
      <alignment horizontal="center" vertical="top" wrapText="1"/>
    </xf>
    <xf numFmtId="0" fontId="5" fillId="2" borderId="0" xfId="0" applyFont="1" applyFill="1" applyAlignment="1">
      <alignment horizontal="left"/>
    </xf>
    <xf numFmtId="0" fontId="10" fillId="0" borderId="1" xfId="10" applyNumberFormat="1" applyFont="1" applyFill="1" applyBorder="1" applyAlignment="1">
      <alignment horizontal="center" vertical="center"/>
    </xf>
    <xf numFmtId="0" fontId="16" fillId="0" borderId="1" xfId="4" applyFont="1" applyBorder="1" applyAlignment="1">
      <alignment horizontal="center" vertical="center"/>
    </xf>
    <xf numFmtId="0" fontId="5" fillId="0" borderId="0" xfId="4" applyFont="1" applyBorder="1" applyAlignment="1">
      <alignment horizontal="center" vertical="center"/>
    </xf>
    <xf numFmtId="0" fontId="18" fillId="0" borderId="1" xfId="4" applyFont="1" applyBorder="1" applyAlignment="1">
      <alignment horizontal="center" vertical="center"/>
    </xf>
    <xf numFmtId="0" fontId="89" fillId="0" borderId="1" xfId="0" applyFont="1" applyBorder="1" applyAlignment="1">
      <alignment horizontal="center" vertical="center"/>
    </xf>
    <xf numFmtId="0" fontId="89" fillId="2" borderId="1" xfId="0" applyFont="1" applyFill="1" applyBorder="1" applyAlignment="1">
      <alignment horizontal="center" vertical="center"/>
    </xf>
    <xf numFmtId="2" fontId="10" fillId="2" borderId="1" xfId="0" applyNumberFormat="1" applyFont="1" applyFill="1" applyBorder="1" applyAlignment="1">
      <alignment horizontal="center" vertical="center"/>
    </xf>
    <xf numFmtId="0" fontId="10" fillId="0" borderId="0" xfId="3"/>
    <xf numFmtId="0" fontId="6" fillId="0" borderId="0" xfId="3" applyFont="1" applyAlignment="1">
      <alignment horizontal="right"/>
    </xf>
    <xf numFmtId="0" fontId="6" fillId="0" borderId="0" xfId="3" applyFont="1" applyAlignment="1"/>
    <xf numFmtId="0" fontId="15" fillId="0" borderId="0" xfId="3" applyFont="1" applyAlignment="1"/>
    <xf numFmtId="0" fontId="14" fillId="0" borderId="0" xfId="3" applyFont="1" applyAlignment="1"/>
    <xf numFmtId="0" fontId="10" fillId="0" borderId="0" xfId="3" applyFont="1"/>
    <xf numFmtId="0" fontId="5" fillId="0" borderId="0" xfId="3" applyFont="1"/>
    <xf numFmtId="0" fontId="10" fillId="0" borderId="1" xfId="3" applyFont="1" applyBorder="1"/>
    <xf numFmtId="0" fontId="10" fillId="0" borderId="0" xfId="3" applyFont="1" applyBorder="1"/>
    <xf numFmtId="0" fontId="5" fillId="0" borderId="1" xfId="3" applyFont="1" applyBorder="1" applyAlignment="1">
      <alignment horizontal="center" vertical="top" wrapText="1"/>
    </xf>
    <xf numFmtId="0" fontId="20" fillId="0" borderId="1" xfId="3" applyFont="1" applyBorder="1" applyAlignment="1">
      <alignment horizontal="center" vertical="top"/>
    </xf>
    <xf numFmtId="0" fontId="20" fillId="0" borderId="1" xfId="3" applyFont="1" applyBorder="1" applyAlignment="1">
      <alignment horizontal="center" vertical="top" wrapText="1"/>
    </xf>
    <xf numFmtId="0" fontId="13" fillId="0" borderId="0" xfId="3" applyFont="1" applyBorder="1"/>
    <xf numFmtId="0" fontId="5" fillId="0" borderId="0" xfId="3" applyFont="1" applyBorder="1"/>
    <xf numFmtId="0" fontId="5" fillId="0" borderId="0" xfId="3" applyFont="1" applyBorder="1" applyAlignment="1">
      <alignment horizontal="center"/>
    </xf>
    <xf numFmtId="0" fontId="5" fillId="0" borderId="0" xfId="3" applyFont="1" applyAlignment="1"/>
    <xf numFmtId="0" fontId="5" fillId="0" borderId="0" xfId="3" applyFont="1" applyAlignment="1">
      <alignment horizontal="center" vertical="top" wrapText="1"/>
    </xf>
    <xf numFmtId="0" fontId="18" fillId="0" borderId="0" xfId="2" applyFont="1" applyBorder="1" applyAlignment="1">
      <alignment horizontal="left" vertical="center"/>
    </xf>
    <xf numFmtId="0" fontId="18" fillId="0" borderId="1" xfId="3" applyFont="1" applyBorder="1" applyAlignment="1">
      <alignment horizontal="center" vertical="center"/>
    </xf>
    <xf numFmtId="0" fontId="74" fillId="0" borderId="0" xfId="3" applyFont="1" applyAlignment="1">
      <alignment horizontal="center"/>
    </xf>
    <xf numFmtId="0" fontId="45" fillId="0" borderId="0" xfId="3" applyFont="1"/>
    <xf numFmtId="0" fontId="36" fillId="0" borderId="0" xfId="3" applyFont="1" applyBorder="1" applyAlignment="1"/>
    <xf numFmtId="0" fontId="5" fillId="0" borderId="1" xfId="3" applyFont="1" applyBorder="1" applyAlignment="1">
      <alignment horizontal="center" vertical="top"/>
    </xf>
    <xf numFmtId="0" fontId="37" fillId="0" borderId="1" xfId="3" quotePrefix="1" applyFont="1" applyBorder="1" applyAlignment="1">
      <alignment horizontal="center" vertical="top" wrapText="1"/>
    </xf>
    <xf numFmtId="0" fontId="10" fillId="0" borderId="1" xfId="3" applyBorder="1"/>
    <xf numFmtId="0" fontId="5" fillId="0" borderId="17" xfId="4" applyFont="1" applyBorder="1" applyAlignment="1">
      <alignment horizontal="center" vertical="center" wrapText="1"/>
    </xf>
    <xf numFmtId="0" fontId="5" fillId="0" borderId="20" xfId="4" applyFont="1" applyBorder="1" applyAlignment="1">
      <alignment horizontal="center" vertical="center" wrapText="1"/>
    </xf>
    <xf numFmtId="0" fontId="5" fillId="0" borderId="20" xfId="4" applyFont="1" applyBorder="1" applyAlignment="1">
      <alignment horizontal="center" vertical="center"/>
    </xf>
    <xf numFmtId="0" fontId="11" fillId="0" borderId="20" xfId="4" applyFont="1" applyBorder="1" applyAlignment="1">
      <alignment horizontal="center" vertical="center" wrapText="1"/>
    </xf>
    <xf numFmtId="0" fontId="5" fillId="0" borderId="27" xfId="4" applyFont="1" applyBorder="1" applyAlignment="1">
      <alignment horizontal="center" vertical="center"/>
    </xf>
    <xf numFmtId="0" fontId="5" fillId="0" borderId="20" xfId="4" applyFont="1" applyFill="1" applyBorder="1" applyAlignment="1">
      <alignment horizontal="center" vertical="center" wrapText="1"/>
    </xf>
    <xf numFmtId="0" fontId="5" fillId="0" borderId="29" xfId="4" applyFont="1" applyFill="1" applyBorder="1" applyAlignment="1">
      <alignment horizontal="center" vertical="center" wrapText="1"/>
    </xf>
    <xf numFmtId="2" fontId="5" fillId="0" borderId="30"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2" fontId="5" fillId="0" borderId="21" xfId="0" applyNumberFormat="1"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5" xfId="0" applyFont="1" applyBorder="1" applyAlignment="1">
      <alignment horizontal="center" vertical="center"/>
    </xf>
    <xf numFmtId="0" fontId="5" fillId="0" borderId="37" xfId="0" applyFont="1" applyBorder="1" applyAlignment="1">
      <alignment horizontal="center" vertical="center"/>
    </xf>
    <xf numFmtId="0" fontId="5" fillId="0" borderId="38" xfId="4" applyFont="1" applyBorder="1" applyAlignment="1">
      <alignment horizontal="center" vertical="center" wrapText="1"/>
    </xf>
    <xf numFmtId="0" fontId="5" fillId="0" borderId="39" xfId="4" applyFont="1" applyBorder="1" applyAlignment="1">
      <alignment horizontal="center" vertical="center" wrapText="1"/>
    </xf>
    <xf numFmtId="0" fontId="5" fillId="0" borderId="39" xfId="0" applyFont="1" applyBorder="1" applyAlignment="1">
      <alignment horizontal="center" vertical="center"/>
    </xf>
    <xf numFmtId="2" fontId="5" fillId="0" borderId="20" xfId="0" applyNumberFormat="1" applyFont="1" applyBorder="1" applyAlignment="1">
      <alignment horizontal="center" vertical="center"/>
    </xf>
    <xf numFmtId="0" fontId="5" fillId="0" borderId="40" xfId="0" applyFont="1" applyBorder="1" applyAlignment="1">
      <alignment horizontal="center" vertical="center"/>
    </xf>
    <xf numFmtId="2" fontId="5" fillId="0" borderId="17" xfId="0" applyNumberFormat="1" applyFont="1" applyBorder="1" applyAlignment="1">
      <alignment horizontal="center" vertical="center" wrapText="1"/>
    </xf>
    <xf numFmtId="2" fontId="5" fillId="0" borderId="17" xfId="0" applyNumberFormat="1" applyFont="1" applyBorder="1" applyAlignment="1">
      <alignment horizontal="center" vertical="center"/>
    </xf>
    <xf numFmtId="0" fontId="5" fillId="0" borderId="41" xfId="0" applyFont="1" applyBorder="1" applyAlignment="1">
      <alignment horizontal="center" vertical="center"/>
    </xf>
    <xf numFmtId="2" fontId="5" fillId="0" borderId="42" xfId="0" applyNumberFormat="1" applyFont="1" applyBorder="1" applyAlignment="1">
      <alignment horizontal="center" vertical="center"/>
    </xf>
    <xf numFmtId="0" fontId="5" fillId="0" borderId="9" xfId="0" applyFont="1" applyBorder="1" applyAlignment="1">
      <alignment horizontal="center" vertical="center" wrapText="1"/>
    </xf>
    <xf numFmtId="0" fontId="31" fillId="3" borderId="0" xfId="2" applyFont="1" applyFill="1" applyAlignment="1">
      <alignment horizontal="center"/>
    </xf>
    <xf numFmtId="0" fontId="69" fillId="0" borderId="1" xfId="0" applyFont="1" applyBorder="1" applyAlignment="1">
      <alignment horizontal="center" vertical="center" wrapText="1"/>
    </xf>
    <xf numFmtId="0" fontId="68" fillId="0" borderId="1" xfId="1" applyBorder="1" applyAlignment="1" applyProtection="1">
      <alignment horizontal="center" vertical="center" wrapText="1"/>
    </xf>
    <xf numFmtId="0" fontId="76" fillId="0" borderId="1" xfId="0" applyFont="1" applyBorder="1" applyAlignment="1">
      <alignment horizontal="center" vertical="center"/>
    </xf>
    <xf numFmtId="0" fontId="5" fillId="0" borderId="1" xfId="0" applyFont="1" applyFill="1" applyBorder="1" applyAlignment="1">
      <alignment horizontal="center" vertical="center"/>
    </xf>
    <xf numFmtId="2" fontId="16" fillId="0" borderId="1" xfId="0" applyNumberFormat="1" applyFont="1" applyFill="1" applyBorder="1" applyAlignment="1">
      <alignment horizontal="center" vertical="center"/>
    </xf>
    <xf numFmtId="0" fontId="90" fillId="0" borderId="0" xfId="0" applyFont="1" applyAlignment="1">
      <alignment horizontal="center"/>
    </xf>
    <xf numFmtId="0" fontId="10" fillId="0" borderId="0" xfId="0" applyFont="1" applyBorder="1" applyAlignment="1">
      <alignment horizontal="center"/>
    </xf>
    <xf numFmtId="0" fontId="10" fillId="0" borderId="2" xfId="0" applyFont="1" applyBorder="1" applyAlignment="1">
      <alignment horizontal="center" vertical="center"/>
    </xf>
    <xf numFmtId="0" fontId="0" fillId="0" borderId="2" xfId="0" applyBorder="1" applyAlignment="1">
      <alignment horizontal="center" vertical="center"/>
    </xf>
    <xf numFmtId="0" fontId="18" fillId="0" borderId="0" xfId="0" applyFont="1" applyBorder="1"/>
    <xf numFmtId="0" fontId="27" fillId="0" borderId="1" xfId="0" quotePrefix="1" applyFont="1" applyBorder="1" applyAlignment="1">
      <alignment horizontal="center" vertical="center" wrapText="1"/>
    </xf>
    <xf numFmtId="0" fontId="27" fillId="0" borderId="0" xfId="0" applyFont="1"/>
    <xf numFmtId="0" fontId="18" fillId="0" borderId="0" xfId="0" applyFont="1" applyBorder="1" applyAlignment="1">
      <alignment horizontal="center" vertical="center"/>
    </xf>
    <xf numFmtId="0" fontId="18" fillId="0" borderId="1" xfId="0" applyFont="1" applyBorder="1" applyAlignment="1">
      <alignment horizontal="center"/>
    </xf>
    <xf numFmtId="0" fontId="16" fillId="0" borderId="1" xfId="0" applyFont="1" applyBorder="1" applyAlignment="1">
      <alignment horizontal="center"/>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top"/>
    </xf>
    <xf numFmtId="0" fontId="18" fillId="0" borderId="0" xfId="0" applyFont="1" applyBorder="1" applyAlignment="1">
      <alignment horizontal="center" vertical="top" wrapText="1"/>
    </xf>
    <xf numFmtId="49" fontId="18" fillId="0" borderId="0" xfId="0" applyNumberFormat="1" applyFont="1" applyBorder="1" applyAlignment="1">
      <alignment horizontal="left" vertical="top"/>
    </xf>
    <xf numFmtId="0" fontId="18" fillId="0" borderId="1" xfId="0" applyFont="1" applyBorder="1" applyAlignment="1">
      <alignment horizontal="center" vertical="top"/>
    </xf>
    <xf numFmtId="0" fontId="18" fillId="0" borderId="0" xfId="0" applyNumberFormat="1" applyFont="1" applyBorder="1" applyAlignment="1">
      <alignment horizontal="left"/>
    </xf>
    <xf numFmtId="0" fontId="18" fillId="0" borderId="0" xfId="0" applyFont="1" applyAlignment="1"/>
    <xf numFmtId="0" fontId="18" fillId="0" borderId="6" xfId="0" applyFont="1" applyBorder="1" applyAlignment="1">
      <alignment horizontal="left" vertical="center"/>
    </xf>
    <xf numFmtId="0" fontId="16" fillId="0" borderId="0" xfId="0" applyFont="1" applyBorder="1" applyAlignment="1">
      <alignment horizontal="left"/>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2" fontId="5" fillId="0" borderId="43" xfId="0" applyNumberFormat="1" applyFont="1" applyBorder="1" applyAlignment="1">
      <alignment horizontal="center" vertical="center"/>
    </xf>
    <xf numFmtId="2" fontId="5" fillId="0" borderId="44" xfId="0" applyNumberFormat="1" applyFont="1" applyBorder="1" applyAlignment="1">
      <alignment horizontal="center" vertical="center"/>
    </xf>
    <xf numFmtId="2" fontId="5" fillId="0" borderId="45" xfId="0" applyNumberFormat="1" applyFont="1" applyBorder="1" applyAlignment="1">
      <alignment horizontal="center" vertical="center"/>
    </xf>
    <xf numFmtId="2" fontId="5" fillId="0" borderId="46" xfId="0" applyNumberFormat="1" applyFont="1" applyBorder="1" applyAlignment="1">
      <alignment horizontal="center" vertical="center"/>
    </xf>
    <xf numFmtId="2" fontId="5" fillId="0" borderId="47" xfId="0" applyNumberFormat="1" applyFont="1" applyBorder="1" applyAlignment="1">
      <alignment horizontal="center" vertical="center"/>
    </xf>
    <xf numFmtId="2" fontId="5" fillId="0" borderId="48" xfId="0" applyNumberFormat="1" applyFont="1" applyBorder="1" applyAlignment="1">
      <alignment horizontal="center" vertical="center"/>
    </xf>
    <xf numFmtId="0" fontId="36" fillId="2" borderId="1" xfId="0" applyFont="1" applyFill="1" applyBorder="1" applyAlignment="1">
      <alignment horizontal="center" vertical="center" wrapText="1"/>
    </xf>
    <xf numFmtId="0" fontId="76" fillId="2" borderId="1" xfId="0" applyFont="1" applyFill="1" applyBorder="1" applyAlignment="1">
      <alignment horizontal="center" vertical="center" wrapText="1"/>
    </xf>
    <xf numFmtId="0" fontId="51" fillId="0" borderId="0" xfId="0" applyFont="1" applyAlignment="1"/>
    <xf numFmtId="0" fontId="52" fillId="0" borderId="0" xfId="0" applyFont="1"/>
    <xf numFmtId="0" fontId="70" fillId="0" borderId="0" xfId="0" applyFont="1" applyAlignment="1">
      <alignment horizontal="center" vertical="center"/>
    </xf>
    <xf numFmtId="0" fontId="53" fillId="0" borderId="0" xfId="0" applyFont="1" applyBorder="1" applyAlignment="1"/>
    <xf numFmtId="0" fontId="10" fillId="0" borderId="0" xfId="0" applyFont="1" applyAlignment="1">
      <alignment horizontal="center" vertical="center"/>
    </xf>
    <xf numFmtId="0" fontId="5" fillId="0" borderId="0" xfId="0" applyFont="1" applyAlignment="1">
      <alignment horizontal="left" vertical="center"/>
    </xf>
    <xf numFmtId="0" fontId="77" fillId="0" borderId="2" xfId="0" applyFont="1" applyBorder="1" applyAlignment="1">
      <alignment horizontal="center" vertical="center"/>
    </xf>
    <xf numFmtId="0" fontId="91" fillId="0" borderId="1" xfId="0" applyFont="1" applyFill="1" applyBorder="1" applyAlignment="1">
      <alignment horizontal="center" vertical="center" wrapText="1"/>
    </xf>
    <xf numFmtId="0" fontId="52" fillId="0" borderId="0" xfId="0" applyFont="1" applyFill="1" applyBorder="1" applyAlignment="1">
      <alignment horizontal="left"/>
    </xf>
    <xf numFmtId="0" fontId="52" fillId="0" borderId="0" xfId="0" applyFont="1" applyAlignment="1">
      <alignment vertical="center"/>
    </xf>
    <xf numFmtId="0" fontId="88" fillId="0" borderId="64" xfId="0" applyFont="1" applyFill="1" applyBorder="1" applyAlignment="1">
      <alignment horizontal="center" vertical="center" wrapText="1"/>
    </xf>
    <xf numFmtId="0" fontId="54" fillId="0" borderId="0" xfId="0" applyFont="1" applyAlignment="1">
      <alignment horizontal="left"/>
    </xf>
    <xf numFmtId="0" fontId="55" fillId="0" borderId="0" xfId="2" applyFont="1" applyAlignment="1">
      <alignment horizontal="center"/>
    </xf>
    <xf numFmtId="0" fontId="52" fillId="0" borderId="0" xfId="2" applyFont="1"/>
    <xf numFmtId="0" fontId="53" fillId="0" borderId="6" xfId="0" applyFont="1" applyBorder="1" applyAlignment="1"/>
    <xf numFmtId="0" fontId="51" fillId="0" borderId="0" xfId="0" applyFont="1" applyAlignment="1">
      <alignment horizontal="right"/>
    </xf>
    <xf numFmtId="0" fontId="51" fillId="0" borderId="6" xfId="0" applyFont="1" applyBorder="1" applyAlignment="1"/>
    <xf numFmtId="0" fontId="51" fillId="0" borderId="0" xfId="0" applyFont="1" applyBorder="1" applyAlignment="1"/>
    <xf numFmtId="0" fontId="16" fillId="0" borderId="0" xfId="0" applyFont="1" applyAlignment="1">
      <alignment horizontal="center" vertical="center"/>
    </xf>
    <xf numFmtId="2" fontId="5" fillId="0" borderId="0" xfId="0" applyNumberFormat="1" applyFont="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vertical="center" wrapText="1"/>
    </xf>
    <xf numFmtId="0" fontId="5" fillId="0" borderId="1" xfId="0" applyFont="1" applyBorder="1" applyAlignment="1">
      <alignment vertical="center" wrapText="1"/>
    </xf>
    <xf numFmtId="0" fontId="5" fillId="0" borderId="23" xfId="0" applyFont="1" applyBorder="1" applyAlignment="1">
      <alignment vertical="center" wrapText="1"/>
    </xf>
    <xf numFmtId="0" fontId="10" fillId="0" borderId="0" xfId="0" applyFont="1" applyAlignment="1">
      <alignment horizontal="right"/>
    </xf>
    <xf numFmtId="0" fontId="16" fillId="0" borderId="0" xfId="0" applyFont="1" applyFill="1" applyBorder="1" applyAlignment="1">
      <alignment vertical="top" wrapText="1"/>
    </xf>
    <xf numFmtId="0" fontId="54" fillId="0" borderId="0" xfId="0" applyFont="1" applyAlignment="1">
      <alignment horizontal="right"/>
    </xf>
    <xf numFmtId="0" fontId="18" fillId="0" borderId="3" xfId="0" applyFont="1" applyBorder="1" applyAlignment="1">
      <alignment horizontal="center" vertical="center"/>
    </xf>
    <xf numFmtId="0" fontId="14" fillId="0" borderId="0" xfId="0" applyFont="1" applyBorder="1" applyAlignment="1">
      <alignment horizontal="center" vertical="center"/>
    </xf>
    <xf numFmtId="0" fontId="5" fillId="2" borderId="1" xfId="0" applyFont="1" applyFill="1" applyBorder="1" applyAlignment="1">
      <alignment horizontal="center" vertical="top" wrapText="1"/>
    </xf>
    <xf numFmtId="0" fontId="53" fillId="2" borderId="0" xfId="0" applyFont="1" applyFill="1" applyAlignment="1">
      <alignment horizontal="right"/>
    </xf>
    <xf numFmtId="0" fontId="57" fillId="0" borderId="0" xfId="0" applyFont="1"/>
    <xf numFmtId="0" fontId="92" fillId="2" borderId="1"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35" fillId="0" borderId="0" xfId="3" applyFont="1"/>
    <xf numFmtId="0" fontId="37" fillId="0" borderId="2" xfId="3" applyFont="1" applyBorder="1" applyAlignment="1">
      <alignment horizontal="center" vertical="top" wrapText="1"/>
    </xf>
    <xf numFmtId="0" fontId="5" fillId="2" borderId="1" xfId="0" applyFont="1" applyFill="1" applyBorder="1" applyAlignment="1">
      <alignment horizontal="center"/>
    </xf>
    <xf numFmtId="0" fontId="16" fillId="2" borderId="1" xfId="0" applyFont="1" applyFill="1" applyBorder="1" applyAlignment="1">
      <alignment horizontal="center" vertical="center"/>
    </xf>
    <xf numFmtId="1" fontId="16" fillId="0" borderId="1" xfId="0" applyNumberFormat="1" applyFont="1" applyBorder="1" applyAlignment="1">
      <alignment horizontal="center" vertical="center"/>
    </xf>
    <xf numFmtId="0" fontId="16" fillId="0" borderId="3" xfId="0" applyFont="1" applyBorder="1" applyAlignment="1">
      <alignment horizontal="center" vertical="center"/>
    </xf>
    <xf numFmtId="1" fontId="18" fillId="0" borderId="1" xfId="0" applyNumberFormat="1" applyFont="1" applyBorder="1" applyAlignment="1">
      <alignment horizontal="center" vertical="center"/>
    </xf>
    <xf numFmtId="0" fontId="51" fillId="0" borderId="0" xfId="0" applyFont="1" applyBorder="1" applyAlignment="1">
      <alignment horizontal="right"/>
    </xf>
    <xf numFmtId="0" fontId="5" fillId="0" borderId="0" xfId="0" applyFont="1" applyAlignment="1">
      <alignment vertical="center" wrapText="1"/>
    </xf>
    <xf numFmtId="0" fontId="67" fillId="0" borderId="0" xfId="2" applyFill="1" applyBorder="1" applyAlignment="1">
      <alignment horizontal="center" vertical="center"/>
    </xf>
    <xf numFmtId="0" fontId="5" fillId="0" borderId="0" xfId="4" applyFont="1" applyAlignment="1">
      <alignment vertical="top" wrapText="1"/>
    </xf>
    <xf numFmtId="0" fontId="51" fillId="0" borderId="0" xfId="4" applyFont="1"/>
    <xf numFmtId="0" fontId="51" fillId="0" borderId="0" xfId="4" applyFont="1" applyAlignment="1">
      <alignment vertical="top" wrapText="1"/>
    </xf>
    <xf numFmtId="0" fontId="52" fillId="0" borderId="0" xfId="4" applyFont="1"/>
    <xf numFmtId="0" fontId="52" fillId="0" borderId="0" xfId="4" applyFont="1" applyAlignment="1">
      <alignment horizontal="left"/>
    </xf>
    <xf numFmtId="0" fontId="5" fillId="0" borderId="1" xfId="4" applyFont="1" applyFill="1" applyBorder="1" applyAlignment="1">
      <alignment horizontal="center" vertical="center" wrapText="1"/>
    </xf>
    <xf numFmtId="0" fontId="27" fillId="0" borderId="1" xfId="5" applyFont="1" applyBorder="1" applyAlignment="1">
      <alignment horizontal="center" vertical="center" wrapText="1"/>
    </xf>
    <xf numFmtId="0" fontId="27" fillId="0" borderId="1" xfId="5" applyFont="1" applyBorder="1" applyAlignment="1">
      <alignment horizontal="center" vertical="center"/>
    </xf>
    <xf numFmtId="0" fontId="18" fillId="0" borderId="1" xfId="5" applyFont="1" applyBorder="1" applyAlignment="1">
      <alignment horizontal="center" vertical="center"/>
    </xf>
    <xf numFmtId="0" fontId="16" fillId="0" borderId="1" xfId="5" applyFont="1" applyBorder="1" applyAlignment="1">
      <alignment horizontal="center" vertical="center"/>
    </xf>
    <xf numFmtId="2" fontId="16" fillId="0" borderId="1" xfId="5" applyNumberFormat="1" applyFont="1" applyBorder="1" applyAlignment="1">
      <alignment horizontal="center" vertical="center"/>
    </xf>
    <xf numFmtId="2" fontId="18" fillId="0" borderId="1" xfId="5" applyNumberFormat="1" applyFont="1" applyBorder="1" applyAlignment="1">
      <alignment horizontal="center" vertical="center"/>
    </xf>
    <xf numFmtId="0" fontId="9" fillId="0" borderId="0" xfId="5" applyFont="1" applyAlignment="1">
      <alignment vertical="top" wrapText="1"/>
    </xf>
    <xf numFmtId="0" fontId="15" fillId="0" borderId="0" xfId="5" applyFont="1"/>
    <xf numFmtId="0" fontId="15" fillId="0" borderId="0" xfId="4" applyFont="1"/>
    <xf numFmtId="0" fontId="9" fillId="0" borderId="0" xfId="5" applyFont="1" applyAlignment="1"/>
    <xf numFmtId="0" fontId="15" fillId="0" borderId="0" xfId="6" applyFont="1"/>
    <xf numFmtId="0" fontId="10" fillId="0" borderId="0" xfId="2" applyFont="1" applyBorder="1" applyAlignment="1">
      <alignment horizontal="center" vertical="center"/>
    </xf>
    <xf numFmtId="0" fontId="9" fillId="0" borderId="0" xfId="2" applyFont="1" applyAlignment="1">
      <alignment vertical="top" wrapText="1"/>
    </xf>
    <xf numFmtId="0" fontId="18" fillId="0" borderId="0" xfId="2" applyFont="1" applyAlignment="1">
      <alignment horizontal="center" vertical="center" wrapText="1"/>
    </xf>
    <xf numFmtId="0" fontId="18" fillId="0" borderId="0" xfId="2" applyFont="1"/>
    <xf numFmtId="0" fontId="5" fillId="0" borderId="0" xfId="2" applyFont="1" applyFill="1" applyAlignment="1">
      <alignment horizontal="center" vertical="top" wrapText="1"/>
    </xf>
    <xf numFmtId="0" fontId="10" fillId="0" borderId="0" xfId="0" applyFont="1" applyFill="1"/>
    <xf numFmtId="0" fontId="5" fillId="0" borderId="0" xfId="0" applyFont="1" applyFill="1" applyBorder="1" applyAlignment="1">
      <alignment horizontal="center" vertical="center"/>
    </xf>
    <xf numFmtId="0" fontId="7" fillId="0" borderId="0" xfId="0" applyFont="1" applyAlignment="1">
      <alignment horizontal="center" vertical="center"/>
    </xf>
    <xf numFmtId="0" fontId="67" fillId="0" borderId="0" xfId="2" applyFill="1"/>
    <xf numFmtId="0" fontId="67" fillId="0" borderId="0" xfId="2" applyFill="1" applyAlignment="1">
      <alignment horizontal="left"/>
    </xf>
    <xf numFmtId="0" fontId="67" fillId="0" borderId="6" xfId="2" applyFill="1" applyBorder="1" applyAlignment="1">
      <alignment horizontal="center"/>
    </xf>
    <xf numFmtId="0" fontId="25" fillId="0" borderId="3" xfId="2" applyFont="1" applyFill="1" applyBorder="1" applyAlignment="1">
      <alignment horizontal="center" vertical="center" wrapText="1"/>
    </xf>
    <xf numFmtId="0" fontId="21" fillId="0" borderId="0" xfId="2" applyFont="1" applyFill="1"/>
    <xf numFmtId="0" fontId="25" fillId="0" borderId="1" xfId="2" applyFont="1" applyFill="1" applyBorder="1" applyAlignment="1">
      <alignment horizontal="center" vertical="center" wrapText="1"/>
    </xf>
    <xf numFmtId="0" fontId="21" fillId="0" borderId="0" xfId="2" applyFont="1" applyFill="1" applyAlignment="1">
      <alignment horizontal="center"/>
    </xf>
    <xf numFmtId="0" fontId="31" fillId="0" borderId="0" xfId="2" applyFont="1" applyFill="1" applyAlignment="1">
      <alignment horizontal="center"/>
    </xf>
    <xf numFmtId="0" fontId="77" fillId="0" borderId="1" xfId="0" applyFont="1" applyFill="1" applyBorder="1" applyAlignment="1">
      <alignment horizontal="center" vertical="center"/>
    </xf>
    <xf numFmtId="0" fontId="69" fillId="0" borderId="1" xfId="2" applyFont="1" applyFill="1" applyBorder="1" applyAlignment="1">
      <alignment horizontal="center" vertical="center"/>
    </xf>
    <xf numFmtId="0" fontId="89" fillId="0" borderId="1" xfId="2" applyFont="1" applyFill="1" applyBorder="1" applyAlignment="1">
      <alignment horizontal="center" vertical="center"/>
    </xf>
    <xf numFmtId="0" fontId="77" fillId="0" borderId="1" xfId="2" applyFont="1" applyFill="1" applyBorder="1" applyAlignment="1">
      <alignment horizontal="center" vertical="center"/>
    </xf>
    <xf numFmtId="0" fontId="69" fillId="0" borderId="0" xfId="2" applyFont="1" applyFill="1"/>
    <xf numFmtId="0" fontId="5" fillId="0" borderId="0" xfId="0" applyFont="1" applyFill="1"/>
    <xf numFmtId="0" fontId="5" fillId="0" borderId="0" xfId="0" applyFont="1" applyFill="1" applyAlignment="1">
      <alignment vertical="top" wrapText="1"/>
    </xf>
    <xf numFmtId="0" fontId="5" fillId="0" borderId="0" xfId="0" applyFont="1" applyFill="1" applyAlignment="1"/>
    <xf numFmtId="0" fontId="30" fillId="0" borderId="0" xfId="2" applyFont="1" applyFill="1" applyAlignment="1"/>
    <xf numFmtId="0" fontId="26" fillId="0" borderId="0" xfId="2" applyFont="1" applyFill="1"/>
    <xf numFmtId="0" fontId="18" fillId="0" borderId="1" xfId="0" applyFont="1" applyFill="1" applyBorder="1" applyAlignment="1">
      <alignment horizontal="center" vertical="top" wrapText="1"/>
    </xf>
    <xf numFmtId="0" fontId="23" fillId="0" borderId="1" xfId="2" applyFont="1" applyFill="1" applyBorder="1" applyAlignment="1">
      <alignment horizontal="center" vertical="center" wrapText="1"/>
    </xf>
    <xf numFmtId="0" fontId="21" fillId="0" borderId="1" xfId="2" applyFont="1" applyFill="1" applyBorder="1" applyAlignment="1">
      <alignment horizontal="center" vertical="center" wrapText="1"/>
    </xf>
    <xf numFmtId="0" fontId="23" fillId="0" borderId="1" xfId="2" applyFont="1" applyFill="1" applyBorder="1" applyAlignment="1">
      <alignment horizontal="center" vertical="center"/>
    </xf>
    <xf numFmtId="0" fontId="18" fillId="0" borderId="1" xfId="0" applyFont="1" applyFill="1" applyBorder="1" applyAlignment="1">
      <alignment horizontal="center" vertical="center"/>
    </xf>
    <xf numFmtId="0" fontId="67" fillId="0" borderId="0" xfId="2" applyFill="1" applyBorder="1"/>
    <xf numFmtId="0" fontId="67" fillId="0" borderId="1" xfId="2" applyFill="1" applyBorder="1"/>
    <xf numFmtId="0" fontId="18" fillId="0" borderId="0" xfId="0" applyFont="1" applyFill="1"/>
    <xf numFmtId="0" fontId="16" fillId="0" borderId="0" xfId="0" applyFont="1" applyFill="1"/>
    <xf numFmtId="0" fontId="18" fillId="0" borderId="0" xfId="0" applyFont="1" applyFill="1" applyAlignment="1"/>
    <xf numFmtId="0" fontId="67" fillId="0" borderId="0" xfId="2" applyFont="1" applyFill="1"/>
    <xf numFmtId="0" fontId="0" fillId="0" borderId="0" xfId="0" applyAlignment="1">
      <alignment vertical="center"/>
    </xf>
    <xf numFmtId="0" fontId="69" fillId="0" borderId="0" xfId="0" applyFont="1" applyAlignment="1">
      <alignment horizontal="center" vertical="center"/>
    </xf>
    <xf numFmtId="0" fontId="67" fillId="3" borderId="0" xfId="2" applyFill="1"/>
    <xf numFmtId="1" fontId="60" fillId="0" borderId="1" xfId="2" applyNumberFormat="1" applyFont="1" applyFill="1" applyBorder="1" applyAlignment="1">
      <alignment horizontal="center" vertical="center" wrapText="1"/>
    </xf>
    <xf numFmtId="2" fontId="60" fillId="0" borderId="1" xfId="2" applyNumberFormat="1" applyFont="1" applyFill="1" applyBorder="1" applyAlignment="1">
      <alignment horizontal="center" vertical="center" wrapText="1"/>
    </xf>
    <xf numFmtId="49" fontId="24" fillId="0" borderId="1" xfId="2" applyNumberFormat="1" applyFont="1" applyFill="1" applyBorder="1" applyAlignment="1">
      <alignment horizontal="center" vertical="center" wrapText="1"/>
    </xf>
    <xf numFmtId="0" fontId="7" fillId="0" borderId="0" xfId="0" applyFont="1" applyAlignment="1">
      <alignment vertical="top" wrapText="1"/>
    </xf>
    <xf numFmtId="0" fontId="7" fillId="0" borderId="0" xfId="0" applyFont="1" applyAlignment="1">
      <alignment vertical="center"/>
    </xf>
    <xf numFmtId="0" fontId="7" fillId="0" borderId="0" xfId="0" applyFont="1" applyAlignment="1">
      <alignment horizontal="left" vertical="center"/>
    </xf>
    <xf numFmtId="0" fontId="61" fillId="0" borderId="1" xfId="2" applyFont="1" applyBorder="1" applyAlignment="1">
      <alignment horizontal="center" vertical="center" wrapText="1"/>
    </xf>
    <xf numFmtId="0" fontId="59" fillId="0" borderId="0" xfId="2" applyFont="1"/>
    <xf numFmtId="0" fontId="59" fillId="0" borderId="0" xfId="2" applyFont="1" applyAlignment="1">
      <alignment horizontal="center" vertical="center"/>
    </xf>
    <xf numFmtId="0" fontId="0" fillId="0" borderId="1" xfId="0" applyFill="1" applyBorder="1" applyAlignment="1">
      <alignment horizontal="center"/>
    </xf>
    <xf numFmtId="0" fontId="5" fillId="0" borderId="0" xfId="4" applyFont="1" applyBorder="1" applyAlignment="1">
      <alignment horizontal="left" vertical="center"/>
    </xf>
    <xf numFmtId="165" fontId="10" fillId="0" borderId="7" xfId="4" applyNumberFormat="1" applyFont="1" applyFill="1" applyBorder="1" applyAlignment="1">
      <alignment horizontal="center" vertical="center"/>
    </xf>
    <xf numFmtId="165" fontId="10" fillId="0" borderId="12" xfId="4" applyNumberFormat="1" applyFont="1" applyFill="1" applyBorder="1" applyAlignment="1">
      <alignment horizontal="center" vertical="center"/>
    </xf>
    <xf numFmtId="0" fontId="10" fillId="0" borderId="0" xfId="4" applyFill="1"/>
    <xf numFmtId="165" fontId="10" fillId="0" borderId="0" xfId="4" applyNumberFormat="1"/>
    <xf numFmtId="0" fontId="5" fillId="0" borderId="4" xfId="0" applyFont="1" applyBorder="1" applyAlignment="1">
      <alignment horizontal="center" vertical="center"/>
    </xf>
    <xf numFmtId="2" fontId="10" fillId="0" borderId="1" xfId="2"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0" fontId="0" fillId="0" borderId="0" xfId="0" applyFill="1"/>
    <xf numFmtId="0" fontId="14" fillId="0" borderId="1" xfId="0" applyFont="1" applyFill="1" applyBorder="1" applyAlignment="1">
      <alignment horizontal="center" vertical="center"/>
    </xf>
    <xf numFmtId="0" fontId="93" fillId="0" borderId="1" xfId="0" applyFont="1" applyFill="1" applyBorder="1" applyAlignment="1">
      <alignment horizontal="center" vertical="center"/>
    </xf>
    <xf numFmtId="0" fontId="94" fillId="0" borderId="1" xfId="0" applyFont="1" applyFill="1" applyBorder="1" applyAlignment="1">
      <alignment horizontal="center" vertical="center"/>
    </xf>
    <xf numFmtId="0" fontId="95" fillId="0" borderId="1" xfId="2" applyFont="1" applyFill="1" applyBorder="1" applyAlignment="1">
      <alignment horizontal="center" vertical="center" wrapText="1"/>
    </xf>
    <xf numFmtId="0" fontId="96" fillId="0" borderId="1" xfId="2" applyFont="1" applyFill="1" applyBorder="1" applyAlignment="1">
      <alignment horizontal="center" vertical="center" wrapText="1"/>
    </xf>
    <xf numFmtId="0" fontId="97" fillId="0" borderId="1" xfId="2" applyFont="1" applyFill="1" applyBorder="1" applyAlignment="1">
      <alignment horizontal="center" vertical="center" wrapText="1"/>
    </xf>
    <xf numFmtId="0" fontId="94" fillId="0" borderId="1" xfId="2" applyFont="1" applyFill="1" applyBorder="1" applyAlignment="1">
      <alignment horizontal="center" vertical="center" wrapText="1"/>
    </xf>
    <xf numFmtId="0" fontId="26" fillId="0" borderId="0" xfId="2" applyFont="1" applyFill="1" applyAlignment="1">
      <alignment horizontal="center"/>
    </xf>
    <xf numFmtId="0" fontId="98" fillId="0" borderId="1" xfId="2" applyFont="1" applyFill="1" applyBorder="1" applyAlignment="1">
      <alignment horizontal="center" vertical="center"/>
    </xf>
    <xf numFmtId="0" fontId="94" fillId="0" borderId="1" xfId="2" applyFont="1" applyFill="1" applyBorder="1" applyAlignment="1">
      <alignment horizontal="center" vertical="center"/>
    </xf>
    <xf numFmtId="0" fontId="93" fillId="0" borderId="1" xfId="2" applyFont="1" applyFill="1" applyBorder="1" applyAlignment="1">
      <alignment horizontal="center" vertical="center"/>
    </xf>
    <xf numFmtId="0" fontId="77" fillId="0" borderId="0" xfId="2" applyFont="1" applyFill="1"/>
    <xf numFmtId="0" fontId="69" fillId="0" borderId="0" xfId="2" applyFont="1" applyFill="1" applyBorder="1" applyAlignment="1">
      <alignment horizontal="left" vertical="center"/>
    </xf>
    <xf numFmtId="0" fontId="67" fillId="0" borderId="0" xfId="2" applyFill="1" applyBorder="1" applyAlignment="1"/>
    <xf numFmtId="0" fontId="69" fillId="0" borderId="0" xfId="2" applyFont="1" applyFill="1" applyAlignment="1"/>
    <xf numFmtId="0" fontId="5" fillId="0" borderId="1" xfId="2" applyFont="1" applyFill="1" applyBorder="1" applyAlignment="1">
      <alignment horizontal="center" vertical="center" wrapText="1"/>
    </xf>
    <xf numFmtId="0" fontId="0" fillId="0" borderId="1" xfId="0" applyFill="1" applyBorder="1"/>
    <xf numFmtId="1"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 fontId="5" fillId="0" borderId="1" xfId="2" applyNumberFormat="1" applyFont="1" applyFill="1" applyBorder="1" applyAlignment="1">
      <alignment horizontal="center" vertical="center" wrapText="1"/>
    </xf>
    <xf numFmtId="0" fontId="99" fillId="0" borderId="1" xfId="2" applyFont="1" applyFill="1" applyBorder="1" applyAlignment="1">
      <alignment horizontal="center" vertical="center"/>
    </xf>
    <xf numFmtId="1" fontId="99" fillId="0" borderId="1" xfId="2" applyNumberFormat="1" applyFont="1" applyFill="1" applyBorder="1" applyAlignment="1">
      <alignment horizontal="center" vertical="center"/>
    </xf>
    <xf numFmtId="49" fontId="10" fillId="0" borderId="39" xfId="4" applyNumberFormat="1" applyFont="1" applyBorder="1" applyAlignment="1">
      <alignment horizontal="center" vertical="center" wrapText="1"/>
    </xf>
    <xf numFmtId="1" fontId="87" fillId="0" borderId="3" xfId="0" applyNumberFormat="1" applyFont="1" applyBorder="1" applyAlignment="1">
      <alignment horizontal="center" vertical="center"/>
    </xf>
    <xf numFmtId="0" fontId="33" fillId="0" borderId="0" xfId="0" applyFont="1" applyAlignment="1">
      <alignment horizontal="center"/>
    </xf>
    <xf numFmtId="0" fontId="10" fillId="0" borderId="50" xfId="0" applyFont="1" applyBorder="1" applyAlignment="1">
      <alignment horizontal="center" vertical="center"/>
    </xf>
    <xf numFmtId="0" fontId="10" fillId="0" borderId="4" xfId="0" applyFont="1" applyBorder="1" applyAlignment="1">
      <alignment horizontal="center" vertical="center"/>
    </xf>
    <xf numFmtId="0" fontId="27" fillId="0" borderId="0" xfId="0" applyFont="1" applyAlignment="1"/>
    <xf numFmtId="0" fontId="88" fillId="0" borderId="65" xfId="0" applyFont="1" applyFill="1" applyBorder="1" applyAlignment="1">
      <alignment horizontal="center" vertical="center" wrapText="1"/>
    </xf>
    <xf numFmtId="0" fontId="10" fillId="0" borderId="3" xfId="0" applyFont="1" applyFill="1" applyBorder="1" applyAlignment="1">
      <alignment horizontal="center" vertical="center"/>
    </xf>
    <xf numFmtId="0" fontId="88" fillId="0" borderId="66" xfId="0" applyFont="1" applyFill="1" applyBorder="1" applyAlignment="1">
      <alignment horizontal="center" vertical="center" wrapText="1"/>
    </xf>
    <xf numFmtId="0" fontId="10" fillId="0" borderId="4" xfId="0" applyFont="1" applyFill="1" applyBorder="1" applyAlignment="1">
      <alignment horizontal="center" vertical="center"/>
    </xf>
    <xf numFmtId="0" fontId="88" fillId="0"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88" fillId="0" borderId="67" xfId="0" applyFont="1" applyFill="1" applyBorder="1" applyAlignment="1">
      <alignment horizontal="center" vertical="center" wrapText="1"/>
    </xf>
    <xf numFmtId="0" fontId="88" fillId="0" borderId="68" xfId="0" applyFont="1" applyFill="1" applyBorder="1" applyAlignment="1">
      <alignment horizontal="center" vertical="center" wrapText="1"/>
    </xf>
    <xf numFmtId="0" fontId="91" fillId="0" borderId="4" xfId="0" applyFont="1" applyFill="1" applyBorder="1" applyAlignment="1">
      <alignment horizontal="center" vertical="center" wrapText="1"/>
    </xf>
    <xf numFmtId="0" fontId="66" fillId="0" borderId="1" xfId="3" applyFont="1" applyBorder="1" applyAlignment="1">
      <alignment horizontal="center" vertical="center" wrapText="1"/>
    </xf>
    <xf numFmtId="0" fontId="65" fillId="0" borderId="1" xfId="3" quotePrefix="1" applyFont="1" applyBorder="1" applyAlignment="1">
      <alignment horizontal="center" vertical="center" wrapText="1"/>
    </xf>
    <xf numFmtId="0" fontId="5" fillId="0" borderId="1" xfId="3" applyFont="1" applyBorder="1" applyAlignment="1">
      <alignment horizontal="center" vertical="center"/>
    </xf>
    <xf numFmtId="0" fontId="101" fillId="0" borderId="1" xfId="4" applyFont="1" applyBorder="1" applyAlignment="1">
      <alignment horizontal="center" vertical="center"/>
    </xf>
    <xf numFmtId="0" fontId="117" fillId="0" borderId="0" xfId="2" applyFont="1" applyFill="1" applyBorder="1" applyAlignment="1">
      <alignment horizontal="center" vertical="center"/>
    </xf>
    <xf numFmtId="0" fontId="118" fillId="0" borderId="0" xfId="2" applyFont="1" applyBorder="1" applyAlignment="1">
      <alignment horizontal="center" vertical="center"/>
    </xf>
    <xf numFmtId="0" fontId="119" fillId="0" borderId="0" xfId="2" applyFont="1" applyBorder="1" applyAlignment="1">
      <alignment horizontal="center" vertical="center"/>
    </xf>
    <xf numFmtId="0" fontId="118" fillId="0" borderId="0" xfId="2" applyFont="1" applyFill="1" applyBorder="1" applyAlignment="1">
      <alignment horizontal="center" vertical="center"/>
    </xf>
    <xf numFmtId="0" fontId="120" fillId="0" borderId="0" xfId="0" applyFont="1" applyBorder="1" applyAlignment="1">
      <alignment horizontal="center" vertical="center"/>
    </xf>
    <xf numFmtId="0" fontId="120" fillId="0" borderId="0" xfId="0" applyFont="1" applyBorder="1" applyAlignment="1">
      <alignment horizontal="center"/>
    </xf>
    <xf numFmtId="0" fontId="10" fillId="0" borderId="4" xfId="0" applyFont="1" applyBorder="1" applyAlignment="1">
      <alignment horizontal="center" vertical="center"/>
    </xf>
    <xf numFmtId="0" fontId="10" fillId="0" borderId="14" xfId="4" applyFont="1" applyBorder="1" applyAlignment="1">
      <alignment horizontal="center" vertical="center"/>
    </xf>
    <xf numFmtId="0" fontId="10" fillId="0" borderId="0" xfId="0" applyFont="1" applyBorder="1" applyAlignment="1">
      <alignment vertical="center" wrapText="1"/>
    </xf>
    <xf numFmtId="0" fontId="18" fillId="0" borderId="1"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0" fillId="0" borderId="0" xfId="0" applyFont="1"/>
    <xf numFmtId="0" fontId="5" fillId="0" borderId="1" xfId="4" applyFont="1" applyBorder="1" applyAlignment="1">
      <alignment horizontal="center" vertical="center" wrapText="1"/>
    </xf>
    <xf numFmtId="49" fontId="10" fillId="0" borderId="14" xfId="4" applyNumberFormat="1" applyFont="1" applyBorder="1" applyAlignment="1">
      <alignment horizontal="center" vertical="center" wrapText="1"/>
    </xf>
    <xf numFmtId="0" fontId="10" fillId="0" borderId="14" xfId="4" applyFont="1" applyBorder="1" applyAlignment="1">
      <alignment horizontal="center" vertical="center"/>
    </xf>
    <xf numFmtId="2" fontId="5" fillId="0" borderId="0" xfId="0" applyNumberFormat="1" applyFont="1" applyBorder="1" applyAlignment="1">
      <alignment horizontal="center" vertical="center"/>
    </xf>
    <xf numFmtId="0" fontId="47"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47" fillId="0" borderId="0" xfId="0" applyFont="1" applyAlignment="1">
      <alignment vertical="center"/>
    </xf>
    <xf numFmtId="0" fontId="10" fillId="0" borderId="42" xfId="4" applyFont="1" applyBorder="1" applyAlignment="1">
      <alignment horizontal="center" vertical="center"/>
    </xf>
    <xf numFmtId="0" fontId="10" fillId="0" borderId="0" xfId="4" applyFont="1" applyBorder="1" applyAlignment="1">
      <alignment horizontal="center" vertical="center" wrapText="1"/>
    </xf>
    <xf numFmtId="0" fontId="10" fillId="0" borderId="46" xfId="4" applyFont="1" applyBorder="1" applyAlignment="1">
      <alignment horizontal="center" vertical="center"/>
    </xf>
    <xf numFmtId="165" fontId="10" fillId="0" borderId="30" xfId="4" applyNumberFormat="1" applyFont="1" applyFill="1" applyBorder="1" applyAlignment="1">
      <alignment horizontal="center" vertical="center"/>
    </xf>
    <xf numFmtId="49" fontId="121" fillId="0" borderId="49" xfId="4" applyNumberFormat="1" applyFont="1" applyBorder="1" applyAlignment="1">
      <alignment horizontal="center" vertical="center" wrapText="1"/>
    </xf>
    <xf numFmtId="0" fontId="10" fillId="0" borderId="0" xfId="2" applyFont="1" applyAlignment="1">
      <alignment horizontal="center"/>
    </xf>
    <xf numFmtId="0" fontId="5" fillId="0" borderId="0" xfId="0" applyFont="1" applyBorder="1" applyAlignment="1">
      <alignment horizontal="left"/>
    </xf>
    <xf numFmtId="0" fontId="18" fillId="0" borderId="1"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wrapText="1"/>
    </xf>
    <xf numFmtId="0" fontId="10" fillId="0" borderId="0" xfId="0" applyFont="1"/>
    <xf numFmtId="2" fontId="10" fillId="0" borderId="0" xfId="6" applyNumberFormat="1"/>
    <xf numFmtId="1" fontId="10" fillId="0" borderId="0" xfId="0" applyNumberFormat="1" applyFont="1" applyFill="1" applyBorder="1"/>
    <xf numFmtId="0" fontId="5" fillId="0" borderId="1" xfId="0" applyFont="1" applyBorder="1" applyAlignment="1">
      <alignment horizontal="center" vertical="center"/>
    </xf>
    <xf numFmtId="2" fontId="0" fillId="0" borderId="0" xfId="0" applyNumberFormat="1"/>
    <xf numFmtId="0" fontId="10" fillId="0" borderId="0" xfId="12"/>
    <xf numFmtId="0" fontId="18" fillId="0" borderId="0" xfId="12" applyFont="1"/>
    <xf numFmtId="0" fontId="5" fillId="0" borderId="0" xfId="12" applyFont="1" applyAlignment="1">
      <alignment horizontal="center"/>
    </xf>
    <xf numFmtId="0" fontId="5" fillId="0" borderId="9" xfId="12" applyFont="1" applyBorder="1" applyAlignment="1">
      <alignment horizontal="center" vertical="center"/>
    </xf>
    <xf numFmtId="0" fontId="5" fillId="0" borderId="10" xfId="12" applyFont="1" applyBorder="1" applyAlignment="1">
      <alignment horizontal="center" vertical="center"/>
    </xf>
    <xf numFmtId="0" fontId="5" fillId="0" borderId="10" xfId="12" applyFont="1" applyBorder="1" applyAlignment="1">
      <alignment horizontal="center" vertical="center" wrapText="1"/>
    </xf>
    <xf numFmtId="0" fontId="5" fillId="0" borderId="9" xfId="12" applyFont="1" applyBorder="1" applyAlignment="1">
      <alignment horizontal="center" vertical="center" wrapText="1"/>
    </xf>
    <xf numFmtId="164" fontId="78" fillId="0" borderId="0" xfId="12" applyNumberFormat="1" applyFont="1"/>
    <xf numFmtId="0" fontId="10" fillId="0" borderId="39" xfId="12" applyFont="1" applyBorder="1" applyAlignment="1">
      <alignment horizontal="center" vertical="center"/>
    </xf>
    <xf numFmtId="165" fontId="10" fillId="0" borderId="71" xfId="12" applyNumberFormat="1" applyFont="1" applyBorder="1" applyAlignment="1">
      <alignment horizontal="center" vertical="center"/>
    </xf>
    <xf numFmtId="165" fontId="10" fillId="0" borderId="6" xfId="12" applyNumberFormat="1" applyFont="1" applyBorder="1" applyAlignment="1">
      <alignment horizontal="center" vertical="center"/>
    </xf>
    <xf numFmtId="165" fontId="10" fillId="0" borderId="39" xfId="12" applyNumberFormat="1" applyFont="1" applyBorder="1" applyAlignment="1">
      <alignment horizontal="center" vertical="center"/>
    </xf>
    <xf numFmtId="49" fontId="10" fillId="0" borderId="39" xfId="12" applyNumberFormat="1" applyFont="1" applyBorder="1" applyAlignment="1">
      <alignment horizontal="center" vertical="center" wrapText="1"/>
    </xf>
    <xf numFmtId="2" fontId="78" fillId="0" borderId="0" xfId="12" applyNumberFormat="1" applyFont="1"/>
    <xf numFmtId="0" fontId="10" fillId="0" borderId="12" xfId="12" applyFont="1" applyBorder="1" applyAlignment="1">
      <alignment horizontal="center" vertical="center"/>
    </xf>
    <xf numFmtId="165" fontId="10" fillId="0" borderId="30" xfId="12" applyNumberFormat="1" applyFont="1" applyBorder="1" applyAlignment="1">
      <alignment horizontal="center" vertical="center"/>
    </xf>
    <xf numFmtId="165" fontId="10" fillId="0" borderId="11" xfId="12" applyNumberFormat="1" applyFont="1" applyBorder="1" applyAlignment="1">
      <alignment horizontal="center" vertical="center"/>
    </xf>
    <xf numFmtId="49" fontId="10" fillId="0" borderId="12" xfId="12" applyNumberFormat="1" applyFont="1" applyBorder="1" applyAlignment="1">
      <alignment horizontal="center" vertical="center" wrapText="1"/>
    </xf>
    <xf numFmtId="0" fontId="10" fillId="0" borderId="14" xfId="12" applyFont="1" applyBorder="1" applyAlignment="1">
      <alignment horizontal="center" vertical="center"/>
    </xf>
    <xf numFmtId="0" fontId="10" fillId="0" borderId="13" xfId="12" applyFont="1" applyBorder="1" applyAlignment="1">
      <alignment horizontal="center" vertical="center"/>
    </xf>
    <xf numFmtId="49" fontId="10" fillId="0" borderId="14" xfId="12" applyNumberFormat="1" applyFont="1" applyBorder="1" applyAlignment="1">
      <alignment horizontal="center" vertical="center" wrapText="1"/>
    </xf>
    <xf numFmtId="0" fontId="10" fillId="0" borderId="49" xfId="12" applyFont="1" applyBorder="1" applyAlignment="1">
      <alignment horizontal="center" vertical="center"/>
    </xf>
    <xf numFmtId="165" fontId="10" fillId="0" borderId="30" xfId="12" applyNumberFormat="1" applyFont="1" applyFill="1" applyBorder="1" applyAlignment="1">
      <alignment horizontal="center" vertical="center"/>
    </xf>
    <xf numFmtId="165" fontId="10" fillId="0" borderId="7" xfId="12" applyNumberFormat="1" applyFont="1" applyFill="1" applyBorder="1" applyAlignment="1">
      <alignment horizontal="center" vertical="center"/>
    </xf>
    <xf numFmtId="165" fontId="10" fillId="0" borderId="12" xfId="12" applyNumberFormat="1" applyFont="1" applyFill="1" applyBorder="1" applyAlignment="1">
      <alignment horizontal="center" vertical="center"/>
    </xf>
    <xf numFmtId="165" fontId="10" fillId="0" borderId="70" xfId="12" applyNumberFormat="1" applyFont="1" applyBorder="1" applyAlignment="1">
      <alignment horizontal="center" vertical="center"/>
    </xf>
    <xf numFmtId="165" fontId="10" fillId="0" borderId="7" xfId="12" applyNumberFormat="1" applyFont="1" applyBorder="1" applyAlignment="1">
      <alignment horizontal="center" vertical="center"/>
    </xf>
    <xf numFmtId="165" fontId="10" fillId="0" borderId="12" xfId="12" applyNumberFormat="1" applyFont="1" applyBorder="1" applyAlignment="1">
      <alignment horizontal="center" vertical="center"/>
    </xf>
    <xf numFmtId="0" fontId="10" fillId="0" borderId="0" xfId="12" applyFont="1" applyBorder="1" applyAlignment="1">
      <alignment horizontal="center" vertical="center" wrapText="1"/>
    </xf>
    <xf numFmtId="49" fontId="121" fillId="0" borderId="49" xfId="12" applyNumberFormat="1" applyFont="1" applyBorder="1" applyAlignment="1">
      <alignment horizontal="center" vertical="center" wrapText="1"/>
    </xf>
    <xf numFmtId="165" fontId="10" fillId="0" borderId="69" xfId="12" applyNumberFormat="1" applyFont="1" applyBorder="1" applyAlignment="1">
      <alignment horizontal="center" vertical="center"/>
    </xf>
    <xf numFmtId="165" fontId="10" fillId="0" borderId="69" xfId="12" applyNumberFormat="1" applyFont="1" applyFill="1" applyBorder="1" applyAlignment="1">
      <alignment horizontal="center" vertical="center"/>
    </xf>
    <xf numFmtId="0" fontId="10" fillId="0" borderId="0" xfId="12" applyFill="1"/>
    <xf numFmtId="165" fontId="10" fillId="0" borderId="13" xfId="12" applyNumberFormat="1" applyFont="1" applyFill="1" applyBorder="1" applyAlignment="1">
      <alignment horizontal="center" vertical="center"/>
    </xf>
    <xf numFmtId="165" fontId="10" fillId="0" borderId="14" xfId="12" applyNumberFormat="1" applyFont="1" applyFill="1" applyBorder="1" applyAlignment="1">
      <alignment horizontal="center" vertical="center"/>
    </xf>
    <xf numFmtId="0" fontId="10" fillId="0" borderId="11" xfId="12" applyFont="1" applyBorder="1" applyAlignment="1">
      <alignment horizontal="center" vertical="center"/>
    </xf>
    <xf numFmtId="165" fontId="10" fillId="0" borderId="13" xfId="12" applyNumberFormat="1" applyFont="1" applyBorder="1" applyAlignment="1">
      <alignment horizontal="center" vertical="center"/>
    </xf>
    <xf numFmtId="165" fontId="10" fillId="0" borderId="14" xfId="12" applyNumberFormat="1" applyFont="1" applyBorder="1" applyAlignment="1">
      <alignment horizontal="center" vertical="center"/>
    </xf>
    <xf numFmtId="0" fontId="10" fillId="0" borderId="42" xfId="12" applyFont="1" applyBorder="1" applyAlignment="1">
      <alignment horizontal="center" vertical="center"/>
    </xf>
    <xf numFmtId="0" fontId="10" fillId="0" borderId="46" xfId="12" applyFont="1" applyBorder="1" applyAlignment="1">
      <alignment horizontal="center" vertical="center"/>
    </xf>
    <xf numFmtId="165" fontId="10" fillId="0" borderId="48" xfId="12" applyNumberFormat="1" applyFont="1" applyBorder="1" applyAlignment="1">
      <alignment horizontal="center" vertical="center"/>
    </xf>
    <xf numFmtId="165" fontId="10" fillId="0" borderId="42" xfId="12" applyNumberFormat="1" applyFont="1" applyBorder="1" applyAlignment="1">
      <alignment horizontal="center" vertical="center"/>
    </xf>
    <xf numFmtId="0" fontId="5" fillId="0" borderId="15" xfId="12" applyFont="1" applyBorder="1" applyAlignment="1">
      <alignment horizontal="center" vertical="center"/>
    </xf>
    <xf numFmtId="165" fontId="5" fillId="0" borderId="9" xfId="12" applyNumberFormat="1" applyFont="1" applyBorder="1" applyAlignment="1">
      <alignment horizontal="center" vertical="center"/>
    </xf>
    <xf numFmtId="165" fontId="5" fillId="0" borderId="10" xfId="12" applyNumberFormat="1" applyFont="1" applyBorder="1" applyAlignment="1">
      <alignment horizontal="center" vertical="center"/>
    </xf>
    <xf numFmtId="0" fontId="5" fillId="0" borderId="0" xfId="12" applyFont="1"/>
    <xf numFmtId="165" fontId="10" fillId="0" borderId="0" xfId="12" applyNumberFormat="1"/>
    <xf numFmtId="0" fontId="4" fillId="0" borderId="0" xfId="6471" applyFill="1"/>
    <xf numFmtId="0" fontId="10" fillId="0" borderId="0" xfId="13" applyFont="1" applyFill="1"/>
    <xf numFmtId="0" fontId="30" fillId="0" borderId="0" xfId="6471" applyFont="1" applyFill="1" applyAlignment="1"/>
    <xf numFmtId="0" fontId="4" fillId="0" borderId="6" xfId="6471" applyFill="1" applyBorder="1" applyAlignment="1">
      <alignment horizontal="center"/>
    </xf>
    <xf numFmtId="0" fontId="26" fillId="0" borderId="0" xfId="6471" applyFont="1" applyFill="1"/>
    <xf numFmtId="0" fontId="21" fillId="0" borderId="0" xfId="6471" applyFont="1" applyFill="1"/>
    <xf numFmtId="0" fontId="23" fillId="0" borderId="1" xfId="6471" applyFont="1" applyFill="1" applyBorder="1" applyAlignment="1">
      <alignment horizontal="center" vertical="center" wrapText="1"/>
    </xf>
    <xf numFmtId="0" fontId="21" fillId="0" borderId="1" xfId="6471" applyFont="1" applyFill="1" applyBorder="1" applyAlignment="1">
      <alignment horizontal="center" vertical="center" wrapText="1"/>
    </xf>
    <xf numFmtId="0" fontId="21" fillId="0" borderId="0" xfId="6471" applyFont="1" applyFill="1" applyAlignment="1">
      <alignment horizontal="center"/>
    </xf>
    <xf numFmtId="0" fontId="18" fillId="0" borderId="1" xfId="13" applyFont="1" applyFill="1" applyBorder="1" applyAlignment="1">
      <alignment horizontal="center" vertical="top" wrapText="1"/>
    </xf>
    <xf numFmtId="0" fontId="23" fillId="0" borderId="1" xfId="6471" applyFont="1" applyFill="1" applyBorder="1" applyAlignment="1">
      <alignment horizontal="center" vertical="center"/>
    </xf>
    <xf numFmtId="0" fontId="18" fillId="0" borderId="1" xfId="13" applyFont="1" applyFill="1" applyBorder="1" applyAlignment="1">
      <alignment horizontal="center" vertical="center"/>
    </xf>
    <xf numFmtId="0" fontId="77" fillId="0" borderId="1" xfId="13" applyFont="1" applyFill="1" applyBorder="1" applyAlignment="1">
      <alignment horizontal="center" vertical="center"/>
    </xf>
    <xf numFmtId="1" fontId="46" fillId="0" borderId="1" xfId="6471" applyNumberFormat="1" applyFont="1" applyFill="1" applyBorder="1" applyAlignment="1">
      <alignment horizontal="center" vertical="center" wrapText="1"/>
    </xf>
    <xf numFmtId="2" fontId="46" fillId="0" borderId="1" xfId="6471" applyNumberFormat="1" applyFont="1" applyFill="1" applyBorder="1" applyAlignment="1">
      <alignment horizontal="center" vertical="center" wrapText="1"/>
    </xf>
    <xf numFmtId="0" fontId="4" fillId="0" borderId="0" xfId="6471" applyFill="1" applyBorder="1"/>
    <xf numFmtId="0" fontId="4" fillId="0" borderId="1" xfId="6471" applyFill="1" applyBorder="1"/>
    <xf numFmtId="0" fontId="69" fillId="0" borderId="1" xfId="6471" applyFont="1" applyFill="1" applyBorder="1" applyAlignment="1">
      <alignment horizontal="center" vertical="center"/>
    </xf>
    <xf numFmtId="49" fontId="24" fillId="0" borderId="1" xfId="6471" applyNumberFormat="1" applyFont="1" applyFill="1" applyBorder="1" applyAlignment="1">
      <alignment horizontal="center" vertical="center" wrapText="1"/>
    </xf>
    <xf numFmtId="49" fontId="61" fillId="0" borderId="1" xfId="6471" applyNumberFormat="1" applyFont="1" applyFill="1" applyBorder="1" applyAlignment="1">
      <alignment horizontal="center" vertical="center" wrapText="1"/>
    </xf>
    <xf numFmtId="0" fontId="5" fillId="0" borderId="0" xfId="13" applyFont="1" applyFill="1"/>
    <xf numFmtId="0" fontId="18" fillId="0" borderId="0" xfId="13" applyFont="1" applyFill="1"/>
    <xf numFmtId="0" fontId="16" fillId="0" borderId="0" xfId="13" applyFont="1" applyFill="1"/>
    <xf numFmtId="0" fontId="18" fillId="0" borderId="0" xfId="13" applyFont="1" applyFill="1" applyAlignment="1"/>
    <xf numFmtId="0" fontId="4" fillId="0" borderId="0" xfId="6471" applyFont="1" applyFill="1"/>
    <xf numFmtId="0" fontId="5" fillId="0" borderId="1" xfId="0" applyFont="1" applyBorder="1" applyAlignment="1">
      <alignment horizontal="center" vertical="center" wrapText="1"/>
    </xf>
    <xf numFmtId="1" fontId="0" fillId="0" borderId="1" xfId="0" applyNumberFormat="1" applyFill="1" applyBorder="1" applyAlignment="1">
      <alignment horizontal="center" vertical="center"/>
    </xf>
    <xf numFmtId="0" fontId="0" fillId="0" borderId="0" xfId="0" applyFill="1" applyAlignment="1">
      <alignment horizontal="center" vertical="center"/>
    </xf>
    <xf numFmtId="0" fontId="18"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2" applyFont="1" applyAlignment="1">
      <alignment horizontal="center" vertical="top" wrapText="1"/>
    </xf>
    <xf numFmtId="0" fontId="5" fillId="0" borderId="0" xfId="2" applyFont="1" applyAlignment="1">
      <alignment horizontal="center"/>
    </xf>
    <xf numFmtId="0" fontId="33" fillId="0" borderId="0" xfId="3" applyFont="1" applyAlignment="1">
      <alignment horizontal="center"/>
    </xf>
    <xf numFmtId="0" fontId="34" fillId="0" borderId="0" xfId="3" applyFont="1" applyAlignment="1">
      <alignment horizontal="center"/>
    </xf>
    <xf numFmtId="0" fontId="18" fillId="0" borderId="0" xfId="0" applyFont="1" applyBorder="1" applyAlignment="1">
      <alignment horizontal="left"/>
    </xf>
    <xf numFmtId="1" fontId="10" fillId="0" borderId="3" xfId="0" applyNumberFormat="1" applyFont="1" applyBorder="1" applyAlignment="1">
      <alignment horizontal="center" vertical="center"/>
    </xf>
    <xf numFmtId="1" fontId="5" fillId="0" borderId="7" xfId="0" applyNumberFormat="1" applyFont="1" applyBorder="1" applyAlignment="1">
      <alignment horizontal="center" vertical="center"/>
    </xf>
    <xf numFmtId="1" fontId="5" fillId="0" borderId="3" xfId="0" applyNumberFormat="1" applyFont="1" applyBorder="1" applyAlignment="1">
      <alignment horizontal="center" vertical="center"/>
    </xf>
    <xf numFmtId="0" fontId="10" fillId="0" borderId="0" xfId="13"/>
    <xf numFmtId="0" fontId="70" fillId="0" borderId="0" xfId="13" applyFont="1" applyAlignment="1">
      <alignment horizontal="center"/>
    </xf>
    <xf numFmtId="0" fontId="35" fillId="0" borderId="0" xfId="13" applyFont="1"/>
    <xf numFmtId="0" fontId="36" fillId="0" borderId="0" xfId="13" applyFont="1" applyBorder="1" applyAlignment="1"/>
    <xf numFmtId="0" fontId="20" fillId="0" borderId="6" xfId="13" applyFont="1" applyBorder="1" applyAlignment="1"/>
    <xf numFmtId="0" fontId="20" fillId="0" borderId="0" xfId="13" applyFont="1" applyBorder="1" applyAlignment="1"/>
    <xf numFmtId="0" fontId="36" fillId="0" borderId="23" xfId="13" applyFont="1" applyBorder="1" applyAlignment="1">
      <alignment vertical="top" wrapText="1"/>
    </xf>
    <xf numFmtId="0" fontId="36" fillId="2" borderId="23" xfId="13" applyFont="1" applyFill="1" applyBorder="1" applyAlignment="1">
      <alignment horizontal="center" vertical="top" wrapText="1"/>
    </xf>
    <xf numFmtId="0" fontId="36" fillId="2" borderId="1" xfId="13" applyFont="1" applyFill="1" applyBorder="1" applyAlignment="1">
      <alignment horizontal="center" vertical="top" wrapText="1"/>
    </xf>
    <xf numFmtId="0" fontId="37" fillId="0" borderId="1" xfId="13" quotePrefix="1" applyFont="1" applyBorder="1" applyAlignment="1">
      <alignment horizontal="center" vertical="top" wrapText="1"/>
    </xf>
    <xf numFmtId="0" fontId="10" fillId="0" borderId="1" xfId="13" applyBorder="1"/>
    <xf numFmtId="0" fontId="5" fillId="0" borderId="0" xfId="7376" applyFont="1"/>
    <xf numFmtId="0" fontId="5" fillId="0" borderId="0" xfId="7376" applyFont="1" applyAlignment="1">
      <alignment horizontal="center" vertical="top" wrapText="1"/>
    </xf>
    <xf numFmtId="0" fontId="5" fillId="0" borderId="0" xfId="7376" applyFont="1" applyAlignment="1"/>
    <xf numFmtId="0" fontId="5" fillId="0" borderId="0" xfId="7376" applyFont="1" applyAlignment="1">
      <alignment horizontal="center"/>
    </xf>
    <xf numFmtId="0" fontId="36" fillId="0" borderId="23" xfId="0" applyFont="1" applyBorder="1" applyAlignment="1">
      <alignment vertical="top" wrapText="1"/>
    </xf>
    <xf numFmtId="0" fontId="36" fillId="0" borderId="23" xfId="0" applyFont="1" applyBorder="1" applyAlignment="1">
      <alignment horizontal="center" vertical="top" wrapText="1"/>
    </xf>
    <xf numFmtId="0" fontId="36" fillId="2" borderId="23" xfId="0" applyFont="1" applyFill="1" applyBorder="1" applyAlignment="1">
      <alignment horizontal="center" vertical="top" wrapText="1"/>
    </xf>
    <xf numFmtId="0" fontId="5" fillId="0" borderId="1" xfId="0" quotePrefix="1" applyFont="1" applyBorder="1" applyAlignment="1">
      <alignment horizontal="center" vertical="center" wrapText="1"/>
    </xf>
    <xf numFmtId="0" fontId="18" fillId="0" borderId="1" xfId="3" applyFont="1" applyBorder="1" applyAlignment="1">
      <alignment vertical="center"/>
    </xf>
    <xf numFmtId="0" fontId="0" fillId="0" borderId="0" xfId="0"/>
    <xf numFmtId="0" fontId="10" fillId="0" borderId="0" xfId="0" applyFont="1"/>
    <xf numFmtId="0" fontId="10" fillId="0" borderId="4" xfId="0" applyFont="1" applyBorder="1" applyAlignment="1">
      <alignment horizontal="center" vertical="center"/>
    </xf>
    <xf numFmtId="0" fontId="18" fillId="0" borderId="1" xfId="0" applyFont="1" applyBorder="1" applyAlignment="1">
      <alignment horizontal="center" vertical="center"/>
    </xf>
    <xf numFmtId="2" fontId="16"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10" fillId="0" borderId="1" xfId="0" applyFont="1" applyBorder="1" applyAlignment="1">
      <alignment horizontal="center" vertical="center"/>
    </xf>
    <xf numFmtId="0" fontId="5" fillId="0" borderId="1" xfId="0" applyFont="1" applyBorder="1" applyAlignment="1">
      <alignment horizontal="center" vertical="top" wrapText="1"/>
    </xf>
    <xf numFmtId="0" fontId="76" fillId="0" borderId="3" xfId="0" applyFont="1" applyBorder="1" applyAlignment="1">
      <alignment horizontal="center" vertical="center" wrapText="1"/>
    </xf>
    <xf numFmtId="0" fontId="10" fillId="2" borderId="1" xfId="13" applyFill="1" applyBorder="1" applyAlignment="1">
      <alignment horizontal="center" vertical="center"/>
    </xf>
    <xf numFmtId="0" fontId="5" fillId="2" borderId="1" xfId="13" applyFont="1" applyFill="1" applyBorder="1" applyAlignment="1">
      <alignment horizontal="center" vertical="center"/>
    </xf>
    <xf numFmtId="0" fontId="10" fillId="0" borderId="0" xfId="13" applyAlignment="1">
      <alignment horizontal="center" vertical="center"/>
    </xf>
    <xf numFmtId="0" fontId="122" fillId="0" borderId="1" xfId="0" applyFont="1" applyBorder="1" applyAlignment="1">
      <alignment vertical="center" wrapText="1"/>
    </xf>
    <xf numFmtId="0" fontId="123" fillId="0" borderId="1" xfId="0" applyFont="1" applyBorder="1" applyAlignment="1">
      <alignment horizontal="center" vertical="center" wrapText="1"/>
    </xf>
    <xf numFmtId="0" fontId="87" fillId="0" borderId="1" xfId="0" quotePrefix="1" applyFont="1" applyBorder="1" applyAlignment="1">
      <alignment horizontal="center" vertical="center" wrapText="1"/>
    </xf>
    <xf numFmtId="0" fontId="87" fillId="2" borderId="1" xfId="0" applyFont="1" applyFill="1" applyBorder="1" applyAlignment="1">
      <alignment horizontal="center" vertical="center"/>
    </xf>
    <xf numFmtId="0" fontId="124" fillId="0" borderId="0" xfId="0" applyFont="1" applyAlignment="1">
      <alignment horizontal="center" vertical="center"/>
    </xf>
    <xf numFmtId="0" fontId="16"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xf numFmtId="0" fontId="5" fillId="0" borderId="0" xfId="0" applyFont="1" applyBorder="1" applyAlignment="1">
      <alignment horizontal="right"/>
    </xf>
    <xf numFmtId="0" fontId="5" fillId="0" borderId="1" xfId="0" applyFont="1" applyFill="1" applyBorder="1" applyAlignment="1">
      <alignment horizontal="center" vertical="center" wrapText="1"/>
    </xf>
    <xf numFmtId="0" fontId="87" fillId="2" borderId="1" xfId="0" applyFont="1" applyFill="1" applyBorder="1" applyAlignment="1">
      <alignment horizontal="center"/>
    </xf>
    <xf numFmtId="0" fontId="87" fillId="0" borderId="0" xfId="0" applyFont="1" applyAlignment="1">
      <alignment horizontal="center"/>
    </xf>
    <xf numFmtId="0" fontId="125" fillId="0" borderId="1" xfId="0" quotePrefix="1" applyFont="1" applyBorder="1" applyAlignment="1">
      <alignment horizontal="center" vertical="top" wrapText="1"/>
    </xf>
    <xf numFmtId="0" fontId="69" fillId="0" borderId="1" xfId="0" applyFont="1" applyBorder="1" applyAlignment="1">
      <alignment horizontal="center" vertical="center"/>
    </xf>
    <xf numFmtId="0" fontId="101" fillId="0" borderId="1" xfId="3" applyFont="1" applyBorder="1" applyAlignment="1">
      <alignment horizontal="center" vertical="center"/>
    </xf>
    <xf numFmtId="0" fontId="101" fillId="0" borderId="0" xfId="3"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0" fillId="0" borderId="0" xfId="0" applyFont="1"/>
    <xf numFmtId="0" fontId="5" fillId="0" borderId="0" xfId="0" applyFont="1" applyBorder="1" applyAlignment="1">
      <alignment horizontal="right"/>
    </xf>
    <xf numFmtId="0" fontId="5" fillId="0" borderId="1" xfId="0" applyFont="1" applyFill="1" applyBorder="1" applyAlignment="1">
      <alignment horizontal="center" vertical="center" wrapText="1"/>
    </xf>
    <xf numFmtId="0" fontId="10" fillId="0" borderId="0" xfId="0" applyFont="1"/>
    <xf numFmtId="2"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2" fontId="18" fillId="0" borderId="1" xfId="0" applyNumberFormat="1" applyFont="1" applyBorder="1" applyAlignment="1">
      <alignment horizontal="center" vertical="center"/>
    </xf>
    <xf numFmtId="0" fontId="5" fillId="0" borderId="1" xfId="0" applyFont="1" applyBorder="1" applyAlignment="1">
      <alignment horizontal="center" vertical="center"/>
    </xf>
    <xf numFmtId="0" fontId="10" fillId="0" borderId="0" xfId="0" applyFont="1"/>
    <xf numFmtId="0" fontId="5" fillId="0" borderId="1" xfId="4" applyFont="1" applyBorder="1" applyAlignment="1">
      <alignment horizontal="center" vertical="center" wrapText="1"/>
    </xf>
    <xf numFmtId="0" fontId="25" fillId="0" borderId="23" xfId="2" applyFont="1" applyBorder="1" applyAlignment="1">
      <alignment horizontal="center" vertical="center" wrapText="1"/>
    </xf>
    <xf numFmtId="0" fontId="5" fillId="0" borderId="0" xfId="4" applyFont="1" applyAlignment="1">
      <alignment horizontal="left"/>
    </xf>
    <xf numFmtId="0" fontId="17" fillId="0" borderId="0" xfId="4" applyFont="1" applyAlignment="1">
      <alignment horizontal="left"/>
    </xf>
    <xf numFmtId="0" fontId="10" fillId="0" borderId="1" xfId="4" applyFont="1" applyBorder="1"/>
    <xf numFmtId="0" fontId="10" fillId="0" borderId="0" xfId="4" applyFont="1" applyBorder="1"/>
    <xf numFmtId="0" fontId="5" fillId="0" borderId="0" xfId="4" applyFont="1" applyAlignment="1">
      <alignment horizontal="right" vertical="top" wrapText="1"/>
    </xf>
    <xf numFmtId="0" fontId="10" fillId="0" borderId="0" xfId="4" applyFont="1" applyAlignment="1">
      <alignment horizontal="center" vertical="center"/>
    </xf>
    <xf numFmtId="0" fontId="10" fillId="0" borderId="0" xfId="4" applyFont="1" applyBorder="1" applyAlignment="1">
      <alignment horizontal="center" vertical="center"/>
    </xf>
    <xf numFmtId="0" fontId="20" fillId="0" borderId="6" xfId="4" applyFont="1" applyBorder="1" applyAlignment="1"/>
    <xf numFmtId="0" fontId="2" fillId="0" borderId="0" xfId="2" applyFont="1" applyFill="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36" fillId="0" borderId="1" xfId="0" applyFont="1" applyBorder="1" applyAlignment="1">
      <alignment horizontal="center" vertical="center" wrapText="1"/>
    </xf>
    <xf numFmtId="0" fontId="0" fillId="0" borderId="0" xfId="0"/>
    <xf numFmtId="0" fontId="5" fillId="0" borderId="0" xfId="2" applyFont="1" applyAlignment="1">
      <alignment horizontal="right"/>
    </xf>
    <xf numFmtId="0" fontId="121" fillId="0" borderId="1" xfId="0" applyFont="1" applyBorder="1" applyAlignment="1">
      <alignment horizontal="center" vertical="top" wrapText="1"/>
    </xf>
    <xf numFmtId="0" fontId="5" fillId="0" borderId="0" xfId="7377" applyFont="1"/>
    <xf numFmtId="0" fontId="5" fillId="0" borderId="0" xfId="7377" applyFont="1" applyAlignment="1">
      <alignment horizontal="center" vertical="top" wrapText="1"/>
    </xf>
    <xf numFmtId="0" fontId="5" fillId="0" borderId="0" xfId="7377" applyFont="1" applyAlignment="1">
      <alignment vertical="top" wrapText="1"/>
    </xf>
    <xf numFmtId="0" fontId="100" fillId="0" borderId="1" xfId="0" applyFont="1" applyBorder="1" applyAlignment="1">
      <alignment horizontal="center" vertical="center" wrapText="1"/>
    </xf>
    <xf numFmtId="0" fontId="0" fillId="0" borderId="0" xfId="0"/>
    <xf numFmtId="0" fontId="5" fillId="0" borderId="0" xfId="0" applyFont="1" applyAlignment="1">
      <alignment horizontal="center"/>
    </xf>
    <xf numFmtId="0" fontId="9" fillId="0" borderId="0" xfId="0" applyFont="1" applyAlignment="1">
      <alignment horizontal="center"/>
    </xf>
    <xf numFmtId="0" fontId="5" fillId="0" borderId="0" xfId="0" applyFont="1" applyBorder="1" applyAlignment="1">
      <alignment horizont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5" fillId="0" borderId="0" xfId="0" applyFont="1" applyAlignment="1">
      <alignment horizontal="center"/>
    </xf>
    <xf numFmtId="0" fontId="90" fillId="0" borderId="0" xfId="0" applyFont="1" applyAlignment="1">
      <alignment horizontal="center" wrapText="1"/>
    </xf>
    <xf numFmtId="0" fontId="10" fillId="0" borderId="0" xfId="0" applyFont="1"/>
    <xf numFmtId="0" fontId="0" fillId="0" borderId="0" xfId="0"/>
    <xf numFmtId="0" fontId="18" fillId="0" borderId="1" xfId="0" applyFont="1" applyBorder="1" applyAlignment="1">
      <alignment horizontal="center" vertical="center"/>
    </xf>
    <xf numFmtId="2" fontId="18" fillId="0" borderId="1" xfId="0" applyNumberFormat="1" applyFont="1" applyBorder="1" applyAlignment="1">
      <alignment horizontal="center" vertical="center"/>
    </xf>
    <xf numFmtId="2" fontId="16" fillId="0" borderId="1" xfId="0" applyNumberFormat="1" applyFont="1" applyBorder="1" applyAlignment="1">
      <alignment horizontal="center"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xf numFmtId="0" fontId="100"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1" fontId="10" fillId="0" borderId="0" xfId="0" applyNumberFormat="1" applyFont="1" applyBorder="1"/>
    <xf numFmtId="0" fontId="53" fillId="0" borderId="0" xfId="0" applyFont="1" applyBorder="1" applyAlignment="1">
      <alignment horizontal="right"/>
    </xf>
    <xf numFmtId="0" fontId="5" fillId="0" borderId="1" xfId="5" applyFont="1" applyBorder="1" applyAlignment="1">
      <alignment horizontal="center" vertical="center" wrapText="1"/>
    </xf>
    <xf numFmtId="0" fontId="10" fillId="0" borderId="14" xfId="12" applyFont="1" applyBorder="1" applyAlignment="1">
      <alignment horizontal="center" vertical="center"/>
    </xf>
    <xf numFmtId="1" fontId="5" fillId="0" borderId="0" xfId="0" applyNumberFormat="1" applyFont="1" applyBorder="1" applyAlignment="1">
      <alignment horizontal="center" vertical="top" wrapText="1"/>
    </xf>
    <xf numFmtId="0" fontId="121" fillId="0" borderId="2" xfId="0" applyFont="1" applyBorder="1" applyAlignment="1">
      <alignment horizontal="center" vertical="center" wrapText="1"/>
    </xf>
    <xf numFmtId="0" fontId="121" fillId="0" borderId="1" xfId="0" applyFont="1" applyBorder="1" applyAlignment="1">
      <alignment horizontal="center" vertical="center" wrapText="1"/>
    </xf>
    <xf numFmtId="0" fontId="15" fillId="0" borderId="0" xfId="0" applyFont="1" applyAlignment="1">
      <alignment horizontal="center" vertical="center"/>
    </xf>
    <xf numFmtId="2" fontId="0" fillId="0" borderId="0" xfId="0" applyNumberFormat="1" applyAlignment="1">
      <alignment horizontal="center" vertical="center"/>
    </xf>
    <xf numFmtId="2" fontId="16" fillId="0" borderId="0" xfId="0" applyNumberFormat="1" applyFont="1" applyAlignment="1">
      <alignment horizontal="center" vertical="center"/>
    </xf>
    <xf numFmtId="2" fontId="5" fillId="0" borderId="0" xfId="0" applyNumberFormat="1" applyFont="1" applyAlignment="1">
      <alignment horizontal="center" vertical="center"/>
    </xf>
    <xf numFmtId="0" fontId="15" fillId="3" borderId="0" xfId="0" applyFont="1" applyFill="1" applyAlignment="1">
      <alignment horizontal="center" vertical="center"/>
    </xf>
    <xf numFmtId="2" fontId="15" fillId="0" borderId="0" xfId="0" applyNumberFormat="1" applyFont="1" applyAlignment="1">
      <alignment horizontal="center" vertical="center"/>
    </xf>
    <xf numFmtId="2" fontId="15" fillId="3" borderId="0" xfId="0" applyNumberFormat="1" applyFont="1" applyFill="1" applyAlignment="1">
      <alignment horizontal="center" vertical="center"/>
    </xf>
    <xf numFmtId="0" fontId="35" fillId="0" borderId="1" xfId="3" quotePrefix="1" applyFont="1" applyBorder="1" applyAlignment="1">
      <alignment horizontal="center" vertical="center" wrapText="1"/>
    </xf>
    <xf numFmtId="0" fontId="0" fillId="0" borderId="0" xfId="0"/>
    <xf numFmtId="0" fontId="5" fillId="0" borderId="1" xfId="5" applyFont="1" applyBorder="1" applyAlignment="1">
      <alignment horizontal="center" vertical="center" wrapText="1"/>
    </xf>
    <xf numFmtId="0" fontId="10" fillId="0" borderId="14" xfId="4" applyFont="1" applyFill="1" applyBorder="1" applyAlignment="1">
      <alignment horizontal="center" vertical="center"/>
    </xf>
    <xf numFmtId="0" fontId="10" fillId="0" borderId="11" xfId="4" applyFont="1" applyFill="1" applyBorder="1" applyAlignment="1">
      <alignment horizontal="center" vertical="center"/>
    </xf>
    <xf numFmtId="0" fontId="5" fillId="0" borderId="62" xfId="0" applyFont="1" applyFill="1" applyBorder="1" applyAlignment="1">
      <alignment horizontal="center" vertical="center"/>
    </xf>
    <xf numFmtId="0" fontId="10" fillId="0" borderId="39" xfId="4" applyFont="1" applyFill="1" applyBorder="1" applyAlignment="1">
      <alignment horizontal="center" vertical="center"/>
    </xf>
    <xf numFmtId="165" fontId="10" fillId="0" borderId="71" xfId="4" applyNumberFormat="1" applyFont="1" applyFill="1" applyBorder="1" applyAlignment="1">
      <alignment horizontal="center" vertical="center"/>
    </xf>
    <xf numFmtId="165" fontId="10" fillId="0" borderId="6" xfId="4" applyNumberFormat="1" applyFont="1" applyFill="1" applyBorder="1" applyAlignment="1">
      <alignment horizontal="center" vertical="center"/>
    </xf>
    <xf numFmtId="165" fontId="10" fillId="0" borderId="39" xfId="4" applyNumberFormat="1" applyFont="1" applyFill="1" applyBorder="1" applyAlignment="1">
      <alignment horizontal="center" vertical="center"/>
    </xf>
    <xf numFmtId="0" fontId="10" fillId="0" borderId="12" xfId="4" applyFont="1" applyFill="1" applyBorder="1" applyAlignment="1">
      <alignment horizontal="center" vertical="center"/>
    </xf>
    <xf numFmtId="165" fontId="10" fillId="0" borderId="11" xfId="4" applyNumberFormat="1" applyFont="1" applyFill="1" applyBorder="1" applyAlignment="1">
      <alignment horizontal="center" vertical="center"/>
    </xf>
    <xf numFmtId="0" fontId="10" fillId="0" borderId="49" xfId="4" applyFont="1" applyFill="1" applyBorder="1" applyAlignment="1">
      <alignment horizontal="center" vertical="center"/>
    </xf>
    <xf numFmtId="165" fontId="10" fillId="0" borderId="70" xfId="4" applyNumberFormat="1" applyFont="1" applyFill="1" applyBorder="1" applyAlignment="1">
      <alignment horizontal="center" vertical="center"/>
    </xf>
    <xf numFmtId="165" fontId="10" fillId="0" borderId="69" xfId="4" applyNumberFormat="1" applyFont="1" applyFill="1" applyBorder="1" applyAlignment="1">
      <alignment horizontal="center" vertical="center"/>
    </xf>
    <xf numFmtId="165" fontId="10" fillId="0" borderId="13" xfId="4" applyNumberFormat="1" applyFont="1" applyFill="1" applyBorder="1" applyAlignment="1">
      <alignment horizontal="center" vertical="center"/>
    </xf>
    <xf numFmtId="165" fontId="10" fillId="0" borderId="14" xfId="4" applyNumberFormat="1" applyFont="1" applyFill="1" applyBorder="1" applyAlignment="1">
      <alignment horizontal="center" vertical="center"/>
    </xf>
    <xf numFmtId="0" fontId="10" fillId="0" borderId="42" xfId="4" applyFont="1" applyFill="1" applyBorder="1" applyAlignment="1">
      <alignment horizontal="center" vertical="center"/>
    </xf>
    <xf numFmtId="165" fontId="10" fillId="0" borderId="48" xfId="4" applyNumberFormat="1" applyFont="1" applyFill="1" applyBorder="1" applyAlignment="1">
      <alignment horizontal="center" vertical="center"/>
    </xf>
    <xf numFmtId="165" fontId="10" fillId="0" borderId="42" xfId="4" applyNumberFormat="1" applyFont="1" applyFill="1" applyBorder="1" applyAlignment="1">
      <alignment horizontal="center" vertical="center"/>
    </xf>
    <xf numFmtId="2" fontId="10" fillId="0" borderId="37" xfId="0" applyNumberFormat="1" applyFont="1" applyFill="1" applyBorder="1" applyAlignment="1">
      <alignment horizontal="center" vertical="center"/>
    </xf>
    <xf numFmtId="2" fontId="10" fillId="0" borderId="20" xfId="0" applyNumberFormat="1" applyFont="1" applyBorder="1" applyAlignment="1">
      <alignment horizontal="center" vertical="center"/>
    </xf>
    <xf numFmtId="2" fontId="10" fillId="0" borderId="30" xfId="0" applyNumberFormat="1" applyFont="1" applyBorder="1" applyAlignment="1">
      <alignment horizontal="center" vertical="center"/>
    </xf>
    <xf numFmtId="0" fontId="18" fillId="0" borderId="23" xfId="6" applyFont="1" applyBorder="1" applyAlignment="1">
      <alignment horizontal="center" vertical="center" wrapText="1"/>
    </xf>
    <xf numFmtId="0" fontId="18" fillId="0" borderId="24" xfId="6" applyFont="1" applyBorder="1" applyAlignment="1">
      <alignment horizontal="center" vertical="center" wrapText="1"/>
    </xf>
    <xf numFmtId="0" fontId="18" fillId="0" borderId="6" xfId="6" applyFont="1" applyBorder="1" applyAlignment="1">
      <alignment horizontal="center" vertical="center" wrapText="1"/>
    </xf>
    <xf numFmtId="0" fontId="18" fillId="0" borderId="50" xfId="6" applyFont="1" applyBorder="1" applyAlignment="1">
      <alignment horizontal="center" vertical="center" wrapText="1"/>
    </xf>
    <xf numFmtId="0" fontId="18" fillId="0" borderId="1" xfId="6" applyFont="1" applyBorder="1" applyAlignment="1">
      <alignment horizontal="center" vertical="center" wrapText="1"/>
    </xf>
    <xf numFmtId="0" fontId="16" fillId="3" borderId="1" xfId="6" applyFont="1" applyFill="1" applyBorder="1" applyAlignment="1">
      <alignment horizontal="center" vertical="center" wrapText="1"/>
    </xf>
    <xf numFmtId="0" fontId="16" fillId="3" borderId="23" xfId="6" applyFont="1" applyFill="1" applyBorder="1" applyAlignment="1">
      <alignment horizontal="center" vertical="center" wrapText="1"/>
    </xf>
    <xf numFmtId="2" fontId="16" fillId="3" borderId="23" xfId="6" applyNumberFormat="1" applyFont="1" applyFill="1" applyBorder="1" applyAlignment="1">
      <alignment horizontal="center" vertical="center" wrapText="1"/>
    </xf>
    <xf numFmtId="14" fontId="16" fillId="3" borderId="23" xfId="6" applyNumberFormat="1" applyFont="1" applyFill="1" applyBorder="1" applyAlignment="1">
      <alignment horizontal="center" vertical="center" wrapText="1"/>
    </xf>
    <xf numFmtId="14" fontId="16" fillId="3" borderId="1" xfId="6" applyNumberFormat="1" applyFont="1" applyFill="1" applyBorder="1" applyAlignment="1">
      <alignment horizontal="center" vertical="center" wrapText="1"/>
    </xf>
    <xf numFmtId="2" fontId="16" fillId="3" borderId="1" xfId="6" applyNumberFormat="1" applyFont="1" applyFill="1" applyBorder="1" applyAlignment="1">
      <alignment horizontal="center" vertical="center" wrapText="1"/>
    </xf>
    <xf numFmtId="0" fontId="10" fillId="0" borderId="0" xfId="0" applyFont="1"/>
    <xf numFmtId="0" fontId="5" fillId="0" borderId="0" xfId="0" applyFont="1" applyAlignment="1">
      <alignment horizontal="center"/>
    </xf>
    <xf numFmtId="0" fontId="5" fillId="0" borderId="0" xfId="0" applyFont="1" applyAlignment="1">
      <alignment horizontal="center" vertical="top" wrapText="1"/>
    </xf>
    <xf numFmtId="0" fontId="5" fillId="0" borderId="1" xfId="0" applyFont="1" applyBorder="1" applyAlignment="1">
      <alignment horizontal="center" vertical="center"/>
    </xf>
    <xf numFmtId="0" fontId="5" fillId="0" borderId="23" xfId="0" applyFont="1" applyBorder="1" applyAlignment="1">
      <alignment horizontal="center" vertical="center" wrapText="1"/>
    </xf>
    <xf numFmtId="0" fontId="5" fillId="0" borderId="0" xfId="0" applyFont="1" applyBorder="1" applyAlignment="1">
      <alignment horizontal="center"/>
    </xf>
    <xf numFmtId="0" fontId="17" fillId="0" borderId="0" xfId="0" applyFont="1" applyAlignment="1">
      <alignment horizontal="center"/>
    </xf>
    <xf numFmtId="0" fontId="5" fillId="0" borderId="1" xfId="0" applyFont="1" applyBorder="1" applyAlignment="1">
      <alignment horizontal="center" vertical="center" wrapText="1"/>
    </xf>
    <xf numFmtId="0" fontId="5" fillId="0" borderId="0" xfId="0" applyFont="1" applyAlignment="1">
      <alignment vertical="top" wrapText="1"/>
    </xf>
    <xf numFmtId="0" fontId="10" fillId="0" borderId="0" xfId="0" applyFont="1"/>
    <xf numFmtId="0" fontId="5" fillId="0" borderId="1" xfId="2" applyFont="1" applyBorder="1" applyAlignment="1">
      <alignment horizontal="center" vertical="center" wrapText="1"/>
    </xf>
    <xf numFmtId="0" fontId="6" fillId="0" borderId="0" xfId="0" applyFont="1" applyAlignment="1">
      <alignment horizontal="right"/>
    </xf>
    <xf numFmtId="0" fontId="5" fillId="0" borderId="0" xfId="0" applyFont="1" applyAlignment="1">
      <alignment horizontal="right"/>
    </xf>
    <xf numFmtId="0" fontId="0" fillId="0" borderId="0" xfId="0"/>
    <xf numFmtId="0" fontId="5" fillId="0" borderId="1" xfId="0" applyFont="1" applyFill="1" applyBorder="1" applyAlignment="1">
      <alignment horizontal="center" vertical="center" wrapText="1"/>
    </xf>
    <xf numFmtId="9" fontId="5" fillId="3" borderId="0" xfId="7378" applyFont="1" applyFill="1" applyAlignment="1">
      <alignment horizontal="center"/>
    </xf>
    <xf numFmtId="2" fontId="5" fillId="0" borderId="0" xfId="0" applyNumberFormat="1" applyFont="1"/>
    <xf numFmtId="2" fontId="10" fillId="2" borderId="1" xfId="2" applyNumberFormat="1" applyFont="1" applyFill="1" applyBorder="1" applyAlignment="1">
      <alignment horizontal="center" vertical="center"/>
    </xf>
    <xf numFmtId="2" fontId="5" fillId="2" borderId="1" xfId="2" applyNumberFormat="1" applyFont="1" applyFill="1" applyBorder="1" applyAlignment="1">
      <alignment horizontal="center" vertical="center"/>
    </xf>
    <xf numFmtId="2" fontId="10" fillId="0" borderId="0" xfId="2" applyNumberFormat="1" applyFont="1" applyAlignment="1">
      <alignment horizontal="center"/>
    </xf>
    <xf numFmtId="0" fontId="51" fillId="0" borderId="0" xfId="0" applyFont="1" applyBorder="1" applyAlignment="1">
      <alignment horizontal="center" vertical="center"/>
    </xf>
    <xf numFmtId="9" fontId="5" fillId="0" borderId="0" xfId="7378" applyFont="1" applyBorder="1" applyAlignment="1">
      <alignment horizontal="center"/>
    </xf>
    <xf numFmtId="9" fontId="5" fillId="0" borderId="0" xfId="7378" applyFont="1" applyBorder="1" applyAlignment="1">
      <alignment horizontal="center" vertical="center" wrapText="1"/>
    </xf>
    <xf numFmtId="9" fontId="5" fillId="0" borderId="0" xfId="7378" applyFont="1"/>
    <xf numFmtId="9" fontId="0" fillId="0" borderId="0" xfId="7378" applyFont="1" applyAlignment="1">
      <alignment horizontal="center"/>
    </xf>
    <xf numFmtId="167" fontId="0" fillId="0" borderId="0" xfId="7378" applyNumberFormat="1" applyFont="1" applyAlignment="1">
      <alignment horizontal="center"/>
    </xf>
    <xf numFmtId="9" fontId="5" fillId="0" borderId="0" xfId="7378" applyFont="1" applyFill="1" applyBorder="1" applyAlignment="1">
      <alignment horizontal="center" vertical="center"/>
    </xf>
    <xf numFmtId="9" fontId="5" fillId="0" borderId="0" xfId="7378" applyFont="1" applyBorder="1" applyAlignment="1">
      <alignment horizontal="center" vertical="center"/>
    </xf>
    <xf numFmtId="9" fontId="5" fillId="3" borderId="0" xfId="7378" applyFont="1" applyFill="1" applyBorder="1" applyAlignment="1">
      <alignment horizontal="center" vertical="center"/>
    </xf>
    <xf numFmtId="0" fontId="6" fillId="0" borderId="0" xfId="0" applyFont="1" applyFill="1" applyAlignment="1"/>
    <xf numFmtId="0" fontId="17" fillId="0" borderId="0" xfId="0" applyFont="1" applyFill="1" applyAlignment="1"/>
    <xf numFmtId="0" fontId="9" fillId="0" borderId="0" xfId="0" applyFont="1" applyFill="1"/>
    <xf numFmtId="0" fontId="20" fillId="0" borderId="1" xfId="0" applyFont="1" applyFill="1" applyBorder="1" applyAlignment="1">
      <alignment horizontal="center"/>
    </xf>
    <xf numFmtId="0" fontId="5" fillId="0" borderId="1" xfId="0" applyFont="1" applyFill="1" applyBorder="1" applyAlignment="1">
      <alignment horizontal="center"/>
    </xf>
    <xf numFmtId="0" fontId="10" fillId="0" borderId="1" xfId="0" applyFont="1" applyFill="1" applyBorder="1" applyAlignment="1">
      <alignment horizontal="center"/>
    </xf>
    <xf numFmtId="2" fontId="0" fillId="0" borderId="1" xfId="0" applyNumberFormat="1" applyFill="1" applyBorder="1" applyAlignment="1">
      <alignment horizontal="center" vertical="center"/>
    </xf>
    <xf numFmtId="0" fontId="5" fillId="0" borderId="4" xfId="0" applyFont="1" applyFill="1" applyBorder="1"/>
    <xf numFmtId="2"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0" fontId="5" fillId="0" borderId="0" xfId="0" applyFont="1" applyFill="1" applyBorder="1"/>
    <xf numFmtId="0" fontId="10" fillId="0" borderId="0" xfId="0" applyFont="1" applyFill="1" applyAlignment="1">
      <alignment vertical="top"/>
    </xf>
    <xf numFmtId="0" fontId="5" fillId="0" borderId="0" xfId="0" applyFont="1" applyFill="1" applyAlignment="1">
      <alignment horizontal="center" vertical="top" wrapText="1"/>
    </xf>
    <xf numFmtId="9" fontId="5" fillId="0" borderId="0" xfId="7378" applyFont="1" applyFill="1" applyBorder="1" applyAlignment="1">
      <alignment horizontal="center"/>
    </xf>
    <xf numFmtId="167" fontId="5" fillId="0" borderId="0" xfId="7378" applyNumberFormat="1" applyFont="1" applyFill="1" applyBorder="1" applyAlignment="1">
      <alignment horizontal="center"/>
    </xf>
    <xf numFmtId="10" fontId="5" fillId="0" borderId="0" xfId="7378" applyNumberFormat="1" applyFont="1" applyFill="1" applyBorder="1" applyAlignment="1">
      <alignment horizontal="center"/>
    </xf>
    <xf numFmtId="0" fontId="63" fillId="0" borderId="0" xfId="0" applyFont="1" applyAlignment="1">
      <alignment horizontal="center" wrapText="1"/>
    </xf>
    <xf numFmtId="0" fontId="18" fillId="0" borderId="0" xfId="0" applyFont="1" applyAlignment="1">
      <alignment horizontal="right" vertical="top" wrapText="1"/>
    </xf>
    <xf numFmtId="0" fontId="16" fillId="0" borderId="0" xfId="0" applyFont="1"/>
    <xf numFmtId="0" fontId="18" fillId="0" borderId="1" xfId="0" applyFont="1" applyBorder="1" applyAlignment="1">
      <alignment horizontal="center"/>
    </xf>
    <xf numFmtId="0" fontId="18" fillId="0" borderId="3" xfId="0" applyFont="1" applyBorder="1" applyAlignment="1">
      <alignment horizontal="center"/>
    </xf>
    <xf numFmtId="0" fontId="18" fillId="0" borderId="7" xfId="0" applyFont="1" applyBorder="1" applyAlignment="1">
      <alignment horizontal="center"/>
    </xf>
    <xf numFmtId="0" fontId="18" fillId="0" borderId="4" xfId="0" applyFont="1" applyBorder="1" applyAlignment="1">
      <alignment horizontal="center"/>
    </xf>
    <xf numFmtId="0" fontId="18" fillId="0" borderId="0" xfId="0" applyFont="1" applyBorder="1" applyAlignment="1">
      <alignment horizontal="center" vertical="center"/>
    </xf>
    <xf numFmtId="9" fontId="16" fillId="0" borderId="0" xfId="0" applyNumberFormat="1" applyFont="1" applyFill="1" applyBorder="1" applyAlignment="1">
      <alignment horizontal="center"/>
    </xf>
    <xf numFmtId="0" fontId="16" fillId="0" borderId="0" xfId="0" applyFont="1" applyFill="1" applyBorder="1" applyAlignment="1">
      <alignment horizontal="center"/>
    </xf>
    <xf numFmtId="10" fontId="16" fillId="0" borderId="0" xfId="0" applyNumberFormat="1" applyFont="1" applyFill="1" applyBorder="1" applyAlignment="1">
      <alignment horizontal="center"/>
    </xf>
    <xf numFmtId="0" fontId="18" fillId="0" borderId="0"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top" wrapText="1"/>
    </xf>
    <xf numFmtId="0" fontId="18" fillId="0" borderId="7" xfId="0" applyFont="1" applyBorder="1" applyAlignment="1">
      <alignment horizontal="center" vertical="top" wrapText="1"/>
    </xf>
    <xf numFmtId="0" fontId="18" fillId="0" borderId="4" xfId="0" applyFont="1" applyBorder="1" applyAlignment="1">
      <alignment horizontal="center" vertical="top" wrapText="1"/>
    </xf>
    <xf numFmtId="0" fontId="18" fillId="0" borderId="0" xfId="0" applyFont="1" applyBorder="1" applyAlignment="1">
      <alignment horizontal="left"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2"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8" fillId="0" borderId="1" xfId="0" applyFont="1" applyBorder="1" applyAlignment="1">
      <alignment horizontal="left" vertical="center"/>
    </xf>
    <xf numFmtId="2" fontId="18" fillId="0" borderId="1" xfId="0" applyNumberFormat="1" applyFont="1" applyBorder="1" applyAlignment="1">
      <alignment horizontal="center" vertical="center"/>
    </xf>
    <xf numFmtId="0" fontId="18" fillId="0" borderId="0" xfId="0" applyFont="1" applyBorder="1" applyAlignment="1">
      <alignment horizontal="left" vertical="top" wrapText="1"/>
    </xf>
    <xf numFmtId="0" fontId="18" fillId="0" borderId="51" xfId="0" applyFont="1" applyBorder="1" applyAlignment="1">
      <alignment horizontal="center" vertical="top"/>
    </xf>
    <xf numFmtId="0" fontId="18" fillId="0" borderId="13" xfId="0" applyFont="1" applyBorder="1" applyAlignment="1">
      <alignment horizontal="center" vertical="top"/>
    </xf>
    <xf numFmtId="0" fontId="18" fillId="0" borderId="52" xfId="0" applyFont="1" applyBorder="1" applyAlignment="1">
      <alignment horizontal="center" vertical="top"/>
    </xf>
    <xf numFmtId="0" fontId="18" fillId="0" borderId="24" xfId="0" applyFont="1" applyBorder="1" applyAlignment="1">
      <alignment horizontal="center" vertical="top"/>
    </xf>
    <xf numFmtId="0" fontId="18" fillId="0" borderId="6" xfId="0" applyFont="1" applyBorder="1" applyAlignment="1">
      <alignment horizontal="center" vertical="top"/>
    </xf>
    <xf numFmtId="0" fontId="18" fillId="0" borderId="50" xfId="0" applyFont="1" applyBorder="1" applyAlignment="1">
      <alignment horizontal="center" vertical="top"/>
    </xf>
    <xf numFmtId="0" fontId="18" fillId="0" borderId="1" xfId="0" applyFont="1" applyBorder="1" applyAlignment="1">
      <alignment horizontal="left" vertical="center" wrapText="1"/>
    </xf>
    <xf numFmtId="0" fontId="27" fillId="0" borderId="1" xfId="0" quotePrefix="1" applyFont="1" applyBorder="1" applyAlignment="1">
      <alignment horizontal="center" vertical="center" wrapText="1"/>
    </xf>
    <xf numFmtId="0" fontId="5" fillId="0" borderId="0" xfId="0" applyFont="1" applyAlignment="1">
      <alignment horizontal="center"/>
    </xf>
    <xf numFmtId="0" fontId="50" fillId="0" borderId="0" xfId="0" applyFont="1" applyAlignment="1">
      <alignment horizontal="center"/>
    </xf>
    <xf numFmtId="0" fontId="90" fillId="0" borderId="0" xfId="0" applyFont="1" applyAlignment="1">
      <alignment horizontal="center"/>
    </xf>
    <xf numFmtId="0" fontId="17" fillId="0" borderId="0" xfId="0" applyFont="1" applyAlignment="1">
      <alignment horizontal="center" vertical="center"/>
    </xf>
    <xf numFmtId="0" fontId="18" fillId="0" borderId="0" xfId="0" applyFont="1" applyAlignment="1">
      <alignment horizontal="left"/>
    </xf>
    <xf numFmtId="0" fontId="18" fillId="0" borderId="0" xfId="0" applyFont="1" applyAlignment="1">
      <alignment horizontal="center"/>
    </xf>
    <xf numFmtId="0" fontId="18" fillId="0" borderId="0" xfId="0" applyFont="1" applyBorder="1" applyAlignment="1">
      <alignment horizontal="left"/>
    </xf>
    <xf numFmtId="0" fontId="18" fillId="0" borderId="1" xfId="0" applyFont="1" applyBorder="1" applyAlignment="1">
      <alignment horizontal="center" wrapText="1"/>
    </xf>
    <xf numFmtId="0" fontId="16" fillId="0" borderId="3" xfId="0" applyFont="1" applyBorder="1" applyAlignment="1">
      <alignment horizontal="center"/>
    </xf>
    <xf numFmtId="0" fontId="16" fillId="0" borderId="4" xfId="0" applyFont="1" applyBorder="1" applyAlignment="1">
      <alignment horizontal="center"/>
    </xf>
    <xf numFmtId="0" fontId="18" fillId="0" borderId="3" xfId="0" applyFont="1" applyBorder="1" applyAlignment="1">
      <alignment horizontal="center" wrapText="1"/>
    </xf>
    <xf numFmtId="0" fontId="18" fillId="0" borderId="4" xfId="0" applyFont="1" applyBorder="1" applyAlignment="1">
      <alignment horizontal="center" wrapText="1"/>
    </xf>
    <xf numFmtId="0" fontId="18" fillId="0" borderId="0" xfId="0" applyFont="1" applyAlignment="1">
      <alignment horizontal="center" vertical="top" wrapText="1"/>
    </xf>
    <xf numFmtId="0" fontId="5" fillId="0" borderId="0" xfId="0" applyFont="1" applyAlignment="1">
      <alignment horizontal="left" vertical="top" wrapText="1"/>
    </xf>
    <xf numFmtId="0" fontId="69" fillId="0" borderId="26" xfId="0" applyFont="1" applyBorder="1" applyAlignment="1">
      <alignment horizontal="right"/>
    </xf>
    <xf numFmtId="0" fontId="5" fillId="0" borderId="0" xfId="0" applyFont="1" applyAlignment="1">
      <alignment horizontal="left"/>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5" fillId="0" borderId="59" xfId="0" applyFont="1" applyBorder="1" applyAlignment="1">
      <alignment horizontal="center" vertical="center"/>
    </xf>
    <xf numFmtId="0" fontId="5" fillId="0" borderId="4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0" fillId="0" borderId="0" xfId="0" applyFont="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90" fillId="0" borderId="0" xfId="0" applyFont="1" applyAlignment="1">
      <alignment horizontal="center" vertical="center"/>
    </xf>
    <xf numFmtId="0" fontId="5" fillId="0" borderId="56" xfId="0" applyFont="1" applyBorder="1" applyAlignment="1">
      <alignment horizontal="center" vertical="center"/>
    </xf>
    <xf numFmtId="0" fontId="5" fillId="0" borderId="0" xfId="0" applyFont="1" applyBorder="1" applyAlignment="1">
      <alignment horizontal="center" vertical="center"/>
    </xf>
    <xf numFmtId="0" fontId="5" fillId="0" borderId="58" xfId="0" applyFont="1" applyBorder="1" applyAlignment="1">
      <alignment horizontal="center" vertical="center"/>
    </xf>
    <xf numFmtId="0" fontId="9" fillId="0" borderId="0" xfId="4" applyFont="1" applyAlignment="1">
      <alignment horizontal="right" vertical="top" wrapText="1"/>
    </xf>
    <xf numFmtId="0" fontId="9" fillId="0" borderId="0" xfId="6" applyFont="1" applyAlignment="1">
      <alignment horizontal="left"/>
    </xf>
    <xf numFmtId="0" fontId="18" fillId="0" borderId="23" xfId="6" applyFont="1" applyBorder="1" applyAlignment="1">
      <alignment horizontal="center" vertical="center" wrapText="1"/>
    </xf>
    <xf numFmtId="0" fontId="18" fillId="0" borderId="25" xfId="6" applyFont="1" applyBorder="1" applyAlignment="1">
      <alignment horizontal="center" vertical="center" wrapText="1"/>
    </xf>
    <xf numFmtId="0" fontId="18" fillId="0" borderId="2" xfId="6" applyFont="1" applyBorder="1" applyAlignment="1">
      <alignment horizontal="center" vertical="center" wrapText="1"/>
    </xf>
    <xf numFmtId="0" fontId="9" fillId="0" borderId="3" xfId="6" applyFont="1" applyBorder="1" applyAlignment="1">
      <alignment horizontal="center" vertical="center" wrapText="1"/>
    </xf>
    <xf numFmtId="0" fontId="9" fillId="0" borderId="7" xfId="6" applyFont="1" applyBorder="1" applyAlignment="1">
      <alignment horizontal="center" vertical="center" wrapText="1"/>
    </xf>
    <xf numFmtId="0" fontId="9" fillId="0" borderId="4" xfId="6" applyFont="1" applyBorder="1" applyAlignment="1">
      <alignment horizontal="center" vertical="center" wrapText="1"/>
    </xf>
    <xf numFmtId="0" fontId="18" fillId="0" borderId="51" xfId="6" applyFont="1" applyBorder="1" applyAlignment="1">
      <alignment horizontal="center" vertical="center" wrapText="1"/>
    </xf>
    <xf numFmtId="0" fontId="18" fillId="0" borderId="13" xfId="6" applyFont="1" applyBorder="1" applyAlignment="1">
      <alignment horizontal="center" vertical="center" wrapText="1"/>
    </xf>
    <xf numFmtId="0" fontId="18" fillId="0" borderId="52" xfId="6" applyFont="1" applyBorder="1" applyAlignment="1">
      <alignment horizontal="center" vertical="center" wrapText="1"/>
    </xf>
    <xf numFmtId="0" fontId="18" fillId="0" borderId="62" xfId="6" applyFont="1" applyBorder="1" applyAlignment="1">
      <alignment horizontal="center" vertical="center" wrapText="1"/>
    </xf>
    <xf numFmtId="0" fontId="18" fillId="0" borderId="0" xfId="6" applyFont="1" applyBorder="1" applyAlignment="1">
      <alignment horizontal="center" vertical="center" wrapText="1"/>
    </xf>
    <xf numFmtId="0" fontId="18" fillId="0" borderId="41" xfId="6" applyFont="1" applyBorder="1" applyAlignment="1">
      <alignment horizontal="center" vertical="center" wrapText="1"/>
    </xf>
    <xf numFmtId="0" fontId="18" fillId="0" borderId="24" xfId="6" applyFont="1" applyBorder="1" applyAlignment="1">
      <alignment horizontal="center" vertical="center" wrapText="1"/>
    </xf>
    <xf numFmtId="0" fontId="18" fillId="0" borderId="6" xfId="6" applyFont="1" applyBorder="1" applyAlignment="1">
      <alignment horizontal="center" vertical="center" wrapText="1"/>
    </xf>
    <xf numFmtId="0" fontId="18" fillId="0" borderId="50" xfId="6" applyFont="1" applyBorder="1" applyAlignment="1">
      <alignment horizontal="center" vertical="center" wrapText="1"/>
    </xf>
    <xf numFmtId="0" fontId="9" fillId="0" borderId="1" xfId="6" applyFont="1" applyBorder="1" applyAlignment="1">
      <alignment horizontal="center" vertical="center" wrapText="1"/>
    </xf>
    <xf numFmtId="0" fontId="16" fillId="0" borderId="0" xfId="6" applyFont="1" applyAlignment="1">
      <alignment horizontal="left"/>
    </xf>
    <xf numFmtId="0" fontId="18" fillId="0" borderId="1" xfId="6" applyFont="1" applyBorder="1" applyAlignment="1">
      <alignment horizontal="center" vertical="center" wrapText="1"/>
    </xf>
    <xf numFmtId="0" fontId="9" fillId="0" borderId="0" xfId="4" applyFont="1" applyAlignment="1">
      <alignment horizontal="center"/>
    </xf>
    <xf numFmtId="0" fontId="32" fillId="0" borderId="0" xfId="6" applyFont="1" applyAlignment="1">
      <alignment horizontal="center"/>
    </xf>
    <xf numFmtId="0" fontId="102" fillId="0" borderId="0" xfId="4" applyFont="1" applyAlignment="1">
      <alignment horizontal="center" vertical="center"/>
    </xf>
    <xf numFmtId="0" fontId="18" fillId="0" borderId="0" xfId="4" applyFont="1" applyAlignment="1">
      <alignment horizontal="center"/>
    </xf>
    <xf numFmtId="0" fontId="19" fillId="0" borderId="0" xfId="4" applyFont="1" applyAlignment="1">
      <alignment horizontal="center"/>
    </xf>
    <xf numFmtId="0" fontId="16" fillId="0" borderId="51" xfId="6" applyFont="1" applyBorder="1" applyAlignment="1">
      <alignment horizontal="center" vertical="center" wrapText="1"/>
    </xf>
    <xf numFmtId="0" fontId="16" fillId="0" borderId="13" xfId="6" applyFont="1" applyBorder="1" applyAlignment="1">
      <alignment horizontal="center" vertical="center" wrapText="1"/>
    </xf>
    <xf numFmtId="0" fontId="16" fillId="0" borderId="52" xfId="6" applyFont="1" applyBorder="1" applyAlignment="1">
      <alignment horizontal="center" vertical="center" wrapText="1"/>
    </xf>
    <xf numFmtId="0" fontId="16" fillId="0" borderId="24" xfId="6" applyFont="1" applyBorder="1" applyAlignment="1">
      <alignment horizontal="center" vertical="center" wrapText="1"/>
    </xf>
    <xf numFmtId="0" fontId="16" fillId="0" borderId="6" xfId="6" applyFont="1" applyBorder="1" applyAlignment="1">
      <alignment horizontal="center" vertical="center" wrapText="1"/>
    </xf>
    <xf numFmtId="0" fontId="16" fillId="0" borderId="50" xfId="6" applyFont="1" applyBorder="1" applyAlignment="1">
      <alignment horizontal="center" vertical="center" wrapText="1"/>
    </xf>
    <xf numFmtId="0" fontId="5" fillId="0" borderId="6" xfId="6" applyFont="1" applyBorder="1" applyAlignment="1">
      <alignment horizontal="center" vertical="center"/>
    </xf>
    <xf numFmtId="0" fontId="9" fillId="0" borderId="0" xfId="0" applyFont="1" applyAlignment="1">
      <alignment horizontal="center"/>
    </xf>
    <xf numFmtId="0" fontId="103" fillId="0" borderId="0" xfId="0" applyFont="1" applyAlignment="1">
      <alignment horizontal="center" wrapText="1"/>
    </xf>
    <xf numFmtId="0" fontId="53" fillId="0" borderId="6" xfId="0" applyFont="1" applyBorder="1" applyAlignment="1">
      <alignment horizontal="right"/>
    </xf>
    <xf numFmtId="0" fontId="10" fillId="0" borderId="0" xfId="0" applyFont="1" applyBorder="1" applyAlignment="1">
      <alignment horizontal="center"/>
    </xf>
    <xf numFmtId="0" fontId="17" fillId="0" borderId="0" xfId="0" applyFont="1" applyAlignment="1">
      <alignment horizontal="center"/>
    </xf>
    <xf numFmtId="0" fontId="53" fillId="0" borderId="0" xfId="0" applyFont="1" applyBorder="1" applyAlignment="1">
      <alignment horizontal="center"/>
    </xf>
    <xf numFmtId="0" fontId="5" fillId="0" borderId="23" xfId="0" applyFont="1" applyBorder="1" applyAlignment="1">
      <alignment horizontal="center" vertical="top" wrapText="1"/>
    </xf>
    <xf numFmtId="0" fontId="5" fillId="0" borderId="50" xfId="0" applyFont="1" applyBorder="1" applyAlignment="1">
      <alignment horizontal="center" vertical="top" wrapText="1"/>
    </xf>
    <xf numFmtId="0" fontId="5" fillId="0" borderId="1" xfId="0" applyFont="1" applyBorder="1" applyAlignment="1">
      <alignment horizontal="center" vertical="center" wrapText="1"/>
    </xf>
    <xf numFmtId="0" fontId="104" fillId="0" borderId="0" xfId="0" applyFont="1" applyAlignment="1">
      <alignment horizontal="center"/>
    </xf>
    <xf numFmtId="0" fontId="5" fillId="0" borderId="23" xfId="0" applyFont="1" applyBorder="1" applyAlignment="1">
      <alignment horizontal="center" vertical="center" wrapText="1"/>
    </xf>
    <xf numFmtId="0" fontId="5" fillId="0" borderId="2" xfId="0" applyFont="1" applyBorder="1" applyAlignment="1">
      <alignment horizontal="center" vertical="center" wrapText="1"/>
    </xf>
    <xf numFmtId="0" fontId="51" fillId="0" borderId="6" xfId="0" applyFont="1" applyBorder="1" applyAlignment="1">
      <alignment horizontal="left"/>
    </xf>
    <xf numFmtId="0" fontId="5" fillId="0" borderId="1" xfId="0" applyFont="1" applyBorder="1" applyAlignment="1">
      <alignment horizontal="center"/>
    </xf>
    <xf numFmtId="0" fontId="10" fillId="0" borderId="1" xfId="0" applyFont="1" applyBorder="1" applyAlignment="1">
      <alignment horizont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xf>
    <xf numFmtId="0" fontId="5" fillId="0" borderId="0" xfId="0" applyFont="1" applyAlignment="1">
      <alignment horizontal="right" vertical="center" wrapText="1"/>
    </xf>
    <xf numFmtId="0" fontId="0" fillId="0" borderId="0" xfId="0" applyAlignment="1">
      <alignment horizontal="center"/>
    </xf>
    <xf numFmtId="0" fontId="10" fillId="0" borderId="1" xfId="0" applyFont="1" applyBorder="1" applyAlignment="1">
      <alignment horizontal="center" vertical="center"/>
    </xf>
    <xf numFmtId="0" fontId="0" fillId="0" borderId="0" xfId="0" applyBorder="1" applyAlignment="1">
      <alignment horizontal="center"/>
    </xf>
    <xf numFmtId="0" fontId="10" fillId="0" borderId="1" xfId="0" applyFont="1" applyBorder="1" applyAlignment="1">
      <alignment horizontal="center" vertical="center" wrapText="1"/>
    </xf>
    <xf numFmtId="0" fontId="47" fillId="0" borderId="0" xfId="0" applyFont="1" applyAlignment="1">
      <alignment horizontal="left" wrapText="1"/>
    </xf>
    <xf numFmtId="0" fontId="15" fillId="0" borderId="0" xfId="0" applyFont="1" applyAlignment="1">
      <alignment horizontal="center"/>
    </xf>
    <xf numFmtId="0" fontId="20" fillId="0" borderId="0" xfId="0" applyFont="1" applyBorder="1" applyAlignment="1">
      <alignment horizontal="center"/>
    </xf>
    <xf numFmtId="0" fontId="10" fillId="0" borderId="0" xfId="0" applyFont="1" applyAlignment="1">
      <alignment horizontal="center"/>
    </xf>
    <xf numFmtId="0" fontId="17" fillId="0" borderId="0" xfId="0" applyFont="1" applyAlignment="1">
      <alignment horizontal="right"/>
    </xf>
    <xf numFmtId="0" fontId="5" fillId="0" borderId="4" xfId="0" applyFont="1" applyBorder="1" applyAlignment="1">
      <alignment horizontal="center" vertical="center"/>
    </xf>
    <xf numFmtId="0" fontId="90" fillId="0" borderId="0" xfId="0" applyFont="1" applyAlignment="1">
      <alignment horizontal="center" wrapText="1"/>
    </xf>
    <xf numFmtId="0" fontId="5" fillId="0" borderId="0" xfId="0" applyFont="1" applyAlignment="1">
      <alignment horizontal="right" vertical="top" wrapText="1"/>
    </xf>
    <xf numFmtId="0" fontId="5" fillId="0" borderId="0" xfId="0" applyFont="1" applyAlignment="1">
      <alignment vertical="top" wrapText="1"/>
    </xf>
    <xf numFmtId="0" fontId="20" fillId="0" borderId="6" xfId="0" applyFont="1" applyBorder="1" applyAlignment="1">
      <alignment horizontal="right"/>
    </xf>
    <xf numFmtId="0" fontId="0" fillId="0" borderId="0" xfId="0" applyAlignment="1">
      <alignment horizontal="left"/>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xf>
    <xf numFmtId="0" fontId="5" fillId="0" borderId="0" xfId="7376" applyFont="1" applyAlignment="1">
      <alignment horizontal="center" vertical="top" wrapText="1"/>
    </xf>
    <xf numFmtId="0" fontId="33" fillId="0" borderId="0" xfId="13" applyFont="1" applyAlignment="1">
      <alignment horizontal="center"/>
    </xf>
    <xf numFmtId="0" fontId="34" fillId="0" borderId="0" xfId="13" applyFont="1" applyAlignment="1">
      <alignment horizontal="center"/>
    </xf>
    <xf numFmtId="0" fontId="33" fillId="0" borderId="0" xfId="13" applyFont="1" applyAlignment="1">
      <alignment horizontal="center" wrapText="1"/>
    </xf>
    <xf numFmtId="0" fontId="5" fillId="0" borderId="6" xfId="0" applyFont="1" applyBorder="1" applyAlignment="1">
      <alignment horizontal="center"/>
    </xf>
    <xf numFmtId="0" fontId="10" fillId="0" borderId="0" xfId="0" applyFont="1"/>
    <xf numFmtId="0" fontId="5" fillId="0" borderId="1" xfId="0" applyFont="1" applyBorder="1" applyAlignment="1">
      <alignment horizontal="center" vertical="top" wrapText="1"/>
    </xf>
    <xf numFmtId="0" fontId="17" fillId="0" borderId="0" xfId="0" applyFont="1" applyAlignment="1">
      <alignment horizontal="left"/>
    </xf>
    <xf numFmtId="0" fontId="5" fillId="0" borderId="3" xfId="0" applyFont="1" applyBorder="1" applyAlignment="1">
      <alignment horizontal="center"/>
    </xf>
    <xf numFmtId="0" fontId="5" fillId="0" borderId="7" xfId="0" applyFont="1" applyBorder="1" applyAlignment="1">
      <alignment horizontal="center"/>
    </xf>
    <xf numFmtId="0" fontId="5" fillId="0" borderId="4" xfId="0" applyFont="1" applyBorder="1" applyAlignment="1">
      <alignment horizontal="center"/>
    </xf>
    <xf numFmtId="0" fontId="14" fillId="0" borderId="51" xfId="0" applyFont="1" applyBorder="1" applyAlignment="1">
      <alignment horizontal="center" vertical="center"/>
    </xf>
    <xf numFmtId="0" fontId="14" fillId="0" borderId="13" xfId="0" applyFont="1" applyBorder="1" applyAlignment="1">
      <alignment horizontal="center" vertical="center"/>
    </xf>
    <xf numFmtId="0" fontId="14" fillId="0" borderId="52" xfId="0" applyFont="1" applyBorder="1" applyAlignment="1">
      <alignment horizontal="center" vertical="center"/>
    </xf>
    <xf numFmtId="0" fontId="14" fillId="0" borderId="62" xfId="0" applyFont="1" applyBorder="1" applyAlignment="1">
      <alignment horizontal="center" vertical="center"/>
    </xf>
    <xf numFmtId="0" fontId="14" fillId="0" borderId="0" xfId="0" applyFont="1" applyBorder="1" applyAlignment="1">
      <alignment horizontal="center" vertical="center"/>
    </xf>
    <xf numFmtId="0" fontId="14" fillId="0" borderId="41" xfId="0" applyFont="1" applyBorder="1" applyAlignment="1">
      <alignment horizontal="center" vertical="center"/>
    </xf>
    <xf numFmtId="0" fontId="14" fillId="0" borderId="24" xfId="0" applyFont="1" applyBorder="1" applyAlignment="1">
      <alignment horizontal="center" vertical="center"/>
    </xf>
    <xf numFmtId="0" fontId="14" fillId="0" borderId="6" xfId="0" applyFont="1" applyBorder="1" applyAlignment="1">
      <alignment horizontal="center" vertical="center"/>
    </xf>
    <xf numFmtId="0" fontId="14" fillId="0" borderId="50" xfId="0" applyFont="1" applyBorder="1" applyAlignment="1">
      <alignment horizontal="center" vertical="center"/>
    </xf>
    <xf numFmtId="0" fontId="14" fillId="0" borderId="0" xfId="0" applyFont="1" applyAlignment="1">
      <alignment horizontal="center"/>
    </xf>
    <xf numFmtId="0" fontId="105" fillId="0" borderId="0" xfId="0" applyFont="1" applyAlignment="1">
      <alignment horizontal="center" wrapText="1"/>
    </xf>
    <xf numFmtId="0" fontId="20" fillId="0" borderId="6" xfId="0" applyFont="1" applyBorder="1" applyAlignment="1">
      <alignment horizontal="center"/>
    </xf>
    <xf numFmtId="0" fontId="5" fillId="0" borderId="51" xfId="0" applyFont="1" applyBorder="1" applyAlignment="1">
      <alignment horizontal="center" vertical="center"/>
    </xf>
    <xf numFmtId="0" fontId="10" fillId="0" borderId="13" xfId="0" applyFont="1" applyBorder="1" applyAlignment="1">
      <alignment horizontal="center" vertical="center"/>
    </xf>
    <xf numFmtId="0" fontId="10" fillId="0" borderId="52" xfId="0" applyFont="1" applyBorder="1" applyAlignment="1">
      <alignment horizontal="center" vertical="center"/>
    </xf>
    <xf numFmtId="0" fontId="10" fillId="0" borderId="62" xfId="0" applyFont="1" applyBorder="1" applyAlignment="1">
      <alignment horizontal="center" vertical="center"/>
    </xf>
    <xf numFmtId="0" fontId="10"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24" xfId="0" applyFont="1" applyBorder="1" applyAlignment="1">
      <alignment horizontal="center" vertical="center"/>
    </xf>
    <xf numFmtId="0" fontId="10" fillId="0" borderId="6" xfId="0" applyFont="1" applyBorder="1" applyAlignment="1">
      <alignment horizontal="center" vertical="center"/>
    </xf>
    <xf numFmtId="0" fontId="10" fillId="0" borderId="50" xfId="0" applyFont="1" applyBorder="1" applyAlignment="1">
      <alignment horizontal="center" vertical="center"/>
    </xf>
    <xf numFmtId="0" fontId="5" fillId="0" borderId="0" xfId="0" applyFont="1" applyBorder="1" applyAlignment="1">
      <alignment horizontal="right"/>
    </xf>
    <xf numFmtId="0" fontId="90" fillId="0" borderId="0" xfId="2" applyFont="1" applyAlignment="1">
      <alignment horizontal="center"/>
    </xf>
    <xf numFmtId="0" fontId="5" fillId="0" borderId="1" xfId="2" applyFont="1" applyBorder="1" applyAlignment="1">
      <alignment horizontal="center" vertical="center" wrapText="1"/>
    </xf>
    <xf numFmtId="0" fontId="11" fillId="0" borderId="0" xfId="2" applyFont="1" applyBorder="1" applyAlignment="1">
      <alignment horizontal="left"/>
    </xf>
    <xf numFmtId="0" fontId="5" fillId="2" borderId="23" xfId="2" applyFont="1" applyFill="1" applyBorder="1" applyAlignment="1">
      <alignment horizontal="center" vertical="center" wrapText="1"/>
    </xf>
    <xf numFmtId="0" fontId="5" fillId="2" borderId="25"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9" fillId="0" borderId="0" xfId="2" applyFont="1" applyAlignment="1">
      <alignment horizontal="center"/>
    </xf>
    <xf numFmtId="0" fontId="9" fillId="0" borderId="51" xfId="0" applyFont="1" applyBorder="1" applyAlignment="1">
      <alignment horizontal="center" vertical="center"/>
    </xf>
    <xf numFmtId="0" fontId="9" fillId="0" borderId="13" xfId="0" applyFont="1" applyBorder="1" applyAlignment="1">
      <alignment horizontal="center" vertical="center"/>
    </xf>
    <xf numFmtId="0" fontId="9" fillId="0" borderId="52" xfId="0" applyFont="1" applyBorder="1" applyAlignment="1">
      <alignment horizontal="center" vertical="center"/>
    </xf>
    <xf numFmtId="0" fontId="9" fillId="0" borderId="62" xfId="0" applyFont="1" applyBorder="1" applyAlignment="1">
      <alignment horizontal="center" vertical="center"/>
    </xf>
    <xf numFmtId="0" fontId="9" fillId="0" borderId="0" xfId="0" applyFont="1" applyBorder="1" applyAlignment="1">
      <alignment horizontal="center" vertical="center"/>
    </xf>
    <xf numFmtId="0" fontId="9" fillId="0" borderId="41" xfId="0" applyFont="1" applyBorder="1" applyAlignment="1">
      <alignment horizontal="center" vertical="center"/>
    </xf>
    <xf numFmtId="0" fontId="9" fillId="0" borderId="24" xfId="0" applyFont="1" applyBorder="1" applyAlignment="1">
      <alignment horizontal="center" vertical="center"/>
    </xf>
    <xf numFmtId="0" fontId="9" fillId="0" borderId="6" xfId="0" applyFont="1" applyBorder="1" applyAlignment="1">
      <alignment horizontal="center" vertical="center"/>
    </xf>
    <xf numFmtId="0" fontId="9" fillId="0" borderId="50" xfId="0" applyFont="1" applyBorder="1" applyAlignment="1">
      <alignment horizontal="center" vertical="center"/>
    </xf>
    <xf numFmtId="0" fontId="6" fillId="0" borderId="0" xfId="0" applyFont="1" applyAlignment="1">
      <alignment horizontal="center"/>
    </xf>
    <xf numFmtId="0" fontId="53" fillId="0" borderId="6" xfId="0" applyFont="1" applyBorder="1" applyAlignment="1">
      <alignment horizontal="center"/>
    </xf>
    <xf numFmtId="0" fontId="5" fillId="0" borderId="5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0" xfId="0" applyFont="1" applyBorder="1" applyAlignment="1">
      <alignment horizontal="left" vertical="center" wrapText="1"/>
    </xf>
    <xf numFmtId="0" fontId="51" fillId="0" borderId="0" xfId="0" applyFont="1" applyAlignment="1">
      <alignment horizontal="center"/>
    </xf>
    <xf numFmtId="0" fontId="51" fillId="0" borderId="6" xfId="0" applyFont="1" applyBorder="1" applyAlignment="1">
      <alignment horizontal="center"/>
    </xf>
    <xf numFmtId="0" fontId="7" fillId="0" borderId="0" xfId="0" applyFont="1" applyAlignment="1">
      <alignment horizontal="center"/>
    </xf>
    <xf numFmtId="0" fontId="18" fillId="0" borderId="23" xfId="0" applyFont="1" applyBorder="1" applyAlignment="1">
      <alignment horizontal="center" vertical="center"/>
    </xf>
    <xf numFmtId="0" fontId="18" fillId="0" borderId="2" xfId="0" applyFont="1" applyBorder="1" applyAlignment="1">
      <alignment horizontal="center" vertical="center"/>
    </xf>
    <xf numFmtId="0" fontId="18" fillId="0" borderId="7" xfId="0" applyFont="1" applyBorder="1" applyAlignment="1">
      <alignment horizontal="center" vertical="center"/>
    </xf>
    <xf numFmtId="0" fontId="45" fillId="0" borderId="0" xfId="0" applyFont="1" applyAlignment="1">
      <alignment horizontal="center"/>
    </xf>
    <xf numFmtId="0" fontId="102" fillId="0" borderId="0" xfId="0" applyFont="1" applyAlignment="1">
      <alignment horizontal="center"/>
    </xf>
    <xf numFmtId="0" fontId="9" fillId="0" borderId="0" xfId="0" applyFont="1" applyAlignment="1">
      <alignment horizontal="right" vertical="top" wrapText="1"/>
    </xf>
    <xf numFmtId="0" fontId="6" fillId="0" borderId="0" xfId="0" applyFont="1" applyAlignment="1">
      <alignment horizontal="right"/>
    </xf>
    <xf numFmtId="0" fontId="5" fillId="0" borderId="6" xfId="0" applyFont="1" applyBorder="1" applyAlignment="1">
      <alignment horizontal="left"/>
    </xf>
    <xf numFmtId="0" fontId="51" fillId="0" borderId="0" xfId="0" applyFont="1" applyAlignment="1">
      <alignment horizontal="left"/>
    </xf>
    <xf numFmtId="0" fontId="51" fillId="0" borderId="6" xfId="0" applyFont="1" applyBorder="1" applyAlignment="1">
      <alignment horizontal="right"/>
    </xf>
    <xf numFmtId="0" fontId="5" fillId="0" borderId="13" xfId="0" applyFont="1" applyBorder="1" applyAlignment="1">
      <alignment horizontal="left" vertical="center" wrapText="1"/>
    </xf>
    <xf numFmtId="2" fontId="10" fillId="0" borderId="23" xfId="0" applyNumberFormat="1" applyFont="1" applyBorder="1" applyAlignment="1">
      <alignment horizontal="center" vertical="center" wrapText="1"/>
    </xf>
    <xf numFmtId="2" fontId="10" fillId="0" borderId="25" xfId="0" applyNumberFormat="1" applyFont="1" applyBorder="1" applyAlignment="1">
      <alignment horizontal="center" vertical="center" wrapText="1"/>
    </xf>
    <xf numFmtId="2" fontId="10" fillId="0" borderId="2" xfId="0" applyNumberFormat="1" applyFont="1" applyBorder="1" applyAlignment="1">
      <alignment horizontal="center" vertical="center" wrapText="1"/>
    </xf>
    <xf numFmtId="2" fontId="10" fillId="0" borderId="23" xfId="0" applyNumberFormat="1" applyFont="1" applyBorder="1" applyAlignment="1">
      <alignment horizontal="center" vertical="center"/>
    </xf>
    <xf numFmtId="0" fontId="10" fillId="0" borderId="25" xfId="0" applyFont="1" applyBorder="1" applyAlignment="1">
      <alignment horizontal="center" vertical="center"/>
    </xf>
    <xf numFmtId="0" fontId="10" fillId="0" borderId="2" xfId="0" applyFont="1" applyBorder="1" applyAlignment="1">
      <alignment horizontal="center" vertical="center"/>
    </xf>
    <xf numFmtId="0" fontId="106" fillId="0" borderId="0" xfId="0" applyFont="1" applyAlignment="1">
      <alignment horizontal="center"/>
    </xf>
    <xf numFmtId="0" fontId="10" fillId="0" borderId="23" xfId="0" applyFont="1" applyBorder="1" applyAlignment="1">
      <alignment horizontal="center" vertical="center"/>
    </xf>
    <xf numFmtId="2" fontId="10" fillId="0" borderId="25" xfId="0" applyNumberFormat="1" applyFont="1" applyBorder="1" applyAlignment="1">
      <alignment horizontal="center" vertical="center"/>
    </xf>
    <xf numFmtId="2" fontId="10" fillId="0" borderId="2" xfId="0" applyNumberFormat="1" applyFont="1" applyBorder="1" applyAlignment="1">
      <alignment horizontal="center" vertical="center"/>
    </xf>
    <xf numFmtId="0" fontId="10" fillId="0" borderId="2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 xfId="0" applyFont="1" applyBorder="1" applyAlignment="1">
      <alignment horizontal="center" vertical="center" wrapText="1"/>
    </xf>
    <xf numFmtId="0" fontId="15" fillId="0" borderId="0" xfId="3" applyFont="1" applyAlignment="1">
      <alignment horizontal="center"/>
    </xf>
    <xf numFmtId="0" fontId="9" fillId="0" borderId="0" xfId="3" applyFont="1" applyAlignment="1">
      <alignment horizontal="center"/>
    </xf>
    <xf numFmtId="0" fontId="107" fillId="0" borderId="0" xfId="3" applyFont="1" applyAlignment="1">
      <alignment horizontal="center" wrapText="1"/>
    </xf>
    <xf numFmtId="0" fontId="20" fillId="0" borderId="0" xfId="3" applyFont="1" applyBorder="1" applyAlignment="1">
      <alignment horizontal="right"/>
    </xf>
    <xf numFmtId="0" fontId="5" fillId="0" borderId="1" xfId="3" applyFont="1" applyBorder="1" applyAlignment="1">
      <alignment horizontal="center" vertical="top" wrapText="1"/>
    </xf>
    <xf numFmtId="0" fontId="9" fillId="0" borderId="3" xfId="3" applyFont="1" applyBorder="1" applyAlignment="1">
      <alignment horizontal="center" vertical="center"/>
    </xf>
    <xf numFmtId="0" fontId="9" fillId="0" borderId="7" xfId="3" applyFont="1" applyBorder="1" applyAlignment="1">
      <alignment horizontal="center" vertical="center"/>
    </xf>
    <xf numFmtId="0" fontId="9" fillId="0" borderId="4" xfId="3" applyFont="1" applyBorder="1" applyAlignment="1">
      <alignment horizontal="center" vertical="center"/>
    </xf>
    <xf numFmtId="0" fontId="5" fillId="0" borderId="0" xfId="2" applyFont="1" applyAlignment="1">
      <alignment horizontal="center" vertical="top" wrapText="1"/>
    </xf>
    <xf numFmtId="0" fontId="20" fillId="0" borderId="6" xfId="0" applyFont="1" applyBorder="1" applyAlignment="1">
      <alignment horizontal="left"/>
    </xf>
    <xf numFmtId="0" fontId="5" fillId="0" borderId="0" xfId="2" applyFont="1" applyAlignment="1">
      <alignment horizontal="center" vertical="center" wrapText="1"/>
    </xf>
    <xf numFmtId="0" fontId="84" fillId="0" borderId="1" xfId="0" applyFont="1" applyBorder="1" applyAlignment="1">
      <alignment horizontal="center" vertical="center" wrapText="1"/>
    </xf>
    <xf numFmtId="0" fontId="84" fillId="0" borderId="23" xfId="0" applyFont="1" applyBorder="1" applyAlignment="1">
      <alignment horizontal="center" vertical="center" wrapText="1"/>
    </xf>
    <xf numFmtId="0" fontId="84" fillId="0" borderId="25" xfId="0" applyFont="1" applyBorder="1" applyAlignment="1">
      <alignment horizontal="center" vertical="center" wrapText="1"/>
    </xf>
    <xf numFmtId="0" fontId="84" fillId="0" borderId="2" xfId="0" applyFont="1" applyBorder="1" applyAlignment="1">
      <alignment horizontal="center" vertical="center" wrapText="1"/>
    </xf>
    <xf numFmtId="0" fontId="85" fillId="0" borderId="23" xfId="0" applyFont="1" applyBorder="1" applyAlignment="1">
      <alignment horizontal="center" vertical="center" wrapText="1"/>
    </xf>
    <xf numFmtId="0" fontId="85" fillId="0" borderId="2" xfId="0" applyFont="1" applyBorder="1" applyAlignment="1">
      <alignment horizontal="center" vertical="center" wrapText="1"/>
    </xf>
    <xf numFmtId="0" fontId="27" fillId="0" borderId="0" xfId="0" applyFont="1" applyAlignment="1">
      <alignment horizontal="center"/>
    </xf>
    <xf numFmtId="0" fontId="108" fillId="0" borderId="0" xfId="0" applyFont="1" applyBorder="1" applyAlignment="1">
      <alignment horizontal="center" vertical="top"/>
    </xf>
    <xf numFmtId="0" fontId="126" fillId="0" borderId="23" xfId="0" applyFont="1" applyBorder="1" applyAlignment="1">
      <alignment horizontal="center" vertical="center" wrapText="1"/>
    </xf>
    <xf numFmtId="0" fontId="126" fillId="0" borderId="2" xfId="0" applyFont="1" applyBorder="1" applyAlignment="1">
      <alignment horizontal="center" vertical="center" wrapText="1"/>
    </xf>
    <xf numFmtId="0" fontId="5" fillId="0" borderId="13" xfId="0" applyFont="1" applyBorder="1" applyAlignment="1">
      <alignment horizontal="left" vertical="center"/>
    </xf>
    <xf numFmtId="0" fontId="33" fillId="0" borderId="0" xfId="0" applyFont="1" applyAlignment="1">
      <alignment horizontal="center"/>
    </xf>
    <xf numFmtId="0" fontId="36" fillId="0" borderId="1"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2" xfId="0" applyFont="1" applyBorder="1" applyAlignment="1">
      <alignment horizontal="center" vertical="center" wrapText="1"/>
    </xf>
    <xf numFmtId="0" fontId="103" fillId="0" borderId="0" xfId="0" applyFont="1" applyAlignment="1">
      <alignment horizontal="center"/>
    </xf>
    <xf numFmtId="0" fontId="44" fillId="0" borderId="0" xfId="0" applyFont="1" applyAlignment="1">
      <alignment horizontal="center" vertical="center"/>
    </xf>
    <xf numFmtId="0" fontId="36" fillId="0" borderId="6" xfId="0" applyFont="1" applyBorder="1" applyAlignment="1">
      <alignment horizontal="center"/>
    </xf>
    <xf numFmtId="0" fontId="18" fillId="0" borderId="5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0" xfId="0" applyFont="1" applyBorder="1" applyAlignment="1">
      <alignment horizontal="center" vertical="center" wrapText="1"/>
    </xf>
    <xf numFmtId="0" fontId="9" fillId="0" borderId="3" xfId="2" applyFont="1" applyBorder="1" applyAlignment="1">
      <alignment horizontal="center" vertical="center"/>
    </xf>
    <xf numFmtId="0" fontId="9" fillId="0" borderId="7" xfId="2" applyFont="1" applyBorder="1" applyAlignment="1">
      <alignment horizontal="center" vertical="center"/>
    </xf>
    <xf numFmtId="0" fontId="9" fillId="0" borderId="4" xfId="2" applyFont="1" applyBorder="1" applyAlignment="1">
      <alignment horizontal="center" vertical="center"/>
    </xf>
    <xf numFmtId="0" fontId="5" fillId="0" borderId="0" xfId="2" applyFont="1" applyAlignment="1">
      <alignment horizontal="center"/>
    </xf>
    <xf numFmtId="0" fontId="102" fillId="0" borderId="0" xfId="2" applyFont="1" applyAlignment="1">
      <alignment horizontal="center"/>
    </xf>
    <xf numFmtId="0" fontId="102" fillId="0" borderId="0" xfId="2" applyFont="1" applyAlignment="1"/>
    <xf numFmtId="0" fontId="9" fillId="2" borderId="23" xfId="2" quotePrefix="1" applyFont="1" applyFill="1" applyBorder="1" applyAlignment="1">
      <alignment horizontal="center" vertical="center" wrapText="1"/>
    </xf>
    <xf numFmtId="0" fontId="9" fillId="2" borderId="2" xfId="2" quotePrefix="1" applyFont="1" applyFill="1" applyBorder="1" applyAlignment="1">
      <alignment horizontal="center" vertical="center" wrapText="1"/>
    </xf>
    <xf numFmtId="0" fontId="9" fillId="2" borderId="3" xfId="2" quotePrefix="1" applyFont="1" applyFill="1" applyBorder="1" applyAlignment="1">
      <alignment horizontal="center" vertical="center" wrapText="1"/>
    </xf>
    <xf numFmtId="0" fontId="9" fillId="2" borderId="7" xfId="2" quotePrefix="1" applyFont="1" applyFill="1" applyBorder="1" applyAlignment="1">
      <alignment horizontal="center" vertical="center" wrapText="1"/>
    </xf>
    <xf numFmtId="0" fontId="9" fillId="2" borderId="4" xfId="2" quotePrefix="1" applyFont="1" applyFill="1" applyBorder="1" applyAlignment="1">
      <alignment horizontal="center" vertical="center" wrapText="1"/>
    </xf>
    <xf numFmtId="0" fontId="5" fillId="0" borderId="0" xfId="7376" applyFont="1" applyAlignment="1">
      <alignment horizontal="center"/>
    </xf>
    <xf numFmtId="0" fontId="34" fillId="0" borderId="0" xfId="0" applyFont="1" applyAlignment="1">
      <alignment horizontal="center"/>
    </xf>
    <xf numFmtId="0" fontId="33" fillId="0" borderId="0" xfId="0" applyFont="1" applyAlignment="1">
      <alignment horizontal="center" wrapText="1"/>
    </xf>
    <xf numFmtId="0" fontId="5" fillId="0" borderId="0" xfId="7377" applyFont="1" applyAlignment="1">
      <alignment vertical="top" wrapText="1"/>
    </xf>
    <xf numFmtId="0" fontId="5" fillId="0" borderId="0" xfId="7377" applyFont="1" applyAlignment="1"/>
    <xf numFmtId="0" fontId="100" fillId="0" borderId="1" xfId="0" applyFont="1" applyBorder="1" applyAlignment="1">
      <alignment horizontal="center" vertical="center" wrapText="1"/>
    </xf>
    <xf numFmtId="0" fontId="70" fillId="0" borderId="0" xfId="0" applyFont="1" applyAlignment="1">
      <alignment horizontal="right"/>
    </xf>
    <xf numFmtId="0" fontId="36" fillId="0" borderId="25" xfId="0" applyFont="1" applyBorder="1" applyAlignment="1">
      <alignment horizontal="center" vertical="center" wrapText="1"/>
    </xf>
    <xf numFmtId="0" fontId="100" fillId="0" borderId="23" xfId="0" applyFont="1" applyBorder="1" applyAlignment="1">
      <alignment horizontal="center" vertical="center" wrapText="1"/>
    </xf>
    <xf numFmtId="0" fontId="100" fillId="0" borderId="25" xfId="0" applyFont="1" applyBorder="1" applyAlignment="1">
      <alignment horizontal="center" vertical="center" wrapText="1"/>
    </xf>
    <xf numFmtId="0" fontId="100" fillId="0" borderId="2" xfId="0" applyFont="1" applyBorder="1" applyAlignment="1">
      <alignment horizontal="center" vertical="center" wrapText="1"/>
    </xf>
    <xf numFmtId="0" fontId="5" fillId="0" borderId="0" xfId="0" applyFont="1" applyFill="1" applyAlignment="1">
      <alignment horizontal="right" vertical="top" wrapText="1"/>
    </xf>
    <xf numFmtId="0" fontId="10" fillId="0" borderId="0" xfId="0" applyFont="1" applyFill="1" applyAlignment="1">
      <alignment horizontal="left" vertical="top" wrapText="1"/>
    </xf>
    <xf numFmtId="0" fontId="5" fillId="0" borderId="0" xfId="0" applyFont="1" applyFill="1" applyAlignment="1">
      <alignment horizontal="center" vertical="top" wrapText="1"/>
    </xf>
    <xf numFmtId="0" fontId="5" fillId="0" borderId="0" xfId="0" applyFont="1" applyFill="1" applyAlignment="1">
      <alignment horizontal="center"/>
    </xf>
    <xf numFmtId="0" fontId="105" fillId="0" borderId="0" xfId="0"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horizontal="right"/>
    </xf>
    <xf numFmtId="0" fontId="15" fillId="0" borderId="0" xfId="0" applyFont="1" applyFill="1" applyAlignment="1">
      <alignment horizontal="center"/>
    </xf>
    <xf numFmtId="0" fontId="9" fillId="0" borderId="0" xfId="0" applyFont="1" applyFill="1" applyAlignment="1">
      <alignment horizontal="center"/>
    </xf>
    <xf numFmtId="0" fontId="5" fillId="0"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top" wrapText="1"/>
    </xf>
    <xf numFmtId="0" fontId="0" fillId="0" borderId="0" xfId="0" applyFill="1" applyAlignment="1">
      <alignment vertical="top"/>
    </xf>
    <xf numFmtId="2" fontId="10" fillId="0" borderId="23" xfId="0" applyNumberFormat="1" applyFont="1" applyFill="1" applyBorder="1" applyAlignment="1">
      <alignment horizontal="center" vertical="center" wrapText="1"/>
    </xf>
    <xf numFmtId="2" fontId="0" fillId="0" borderId="25" xfId="0" applyNumberFormat="1" applyFill="1" applyBorder="1" applyAlignment="1">
      <alignment horizontal="center" vertical="center" wrapText="1"/>
    </xf>
    <xf numFmtId="2" fontId="0" fillId="0" borderId="2" xfId="0" applyNumberForma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3" xfId="0" applyFont="1" applyFill="1" applyBorder="1" applyAlignment="1">
      <alignment horizontal="center" vertical="top" wrapText="1"/>
    </xf>
    <xf numFmtId="0" fontId="5" fillId="0" borderId="2" xfId="0" applyFont="1" applyFill="1" applyBorder="1" applyAlignment="1">
      <alignment horizontal="center" vertical="top" wrapText="1"/>
    </xf>
    <xf numFmtId="0" fontId="0" fillId="0" borderId="0" xfId="0" applyAlignment="1">
      <alignment vertical="top"/>
    </xf>
    <xf numFmtId="0" fontId="51" fillId="0" borderId="0" xfId="0" applyFont="1" applyAlignment="1">
      <alignment horizontal="right"/>
    </xf>
    <xf numFmtId="0" fontId="56" fillId="0" borderId="0" xfId="0" applyFont="1" applyAlignment="1">
      <alignment horizontal="center"/>
    </xf>
    <xf numFmtId="0" fontId="90" fillId="0" borderId="0" xfId="0" applyFont="1" applyAlignment="1">
      <alignment horizontal="center" vertical="top" wrapText="1"/>
    </xf>
    <xf numFmtId="0" fontId="0" fillId="0" borderId="25" xfId="0" applyBorder="1" applyAlignment="1">
      <alignment horizontal="center" vertical="center"/>
    </xf>
    <xf numFmtId="0" fontId="0" fillId="0" borderId="2" xfId="0" applyBorder="1" applyAlignment="1">
      <alignment horizontal="center" vertical="center"/>
    </xf>
    <xf numFmtId="0" fontId="105" fillId="0" borderId="0" xfId="0" applyFont="1" applyAlignment="1">
      <alignment horizontal="center" vertical="top" wrapText="1"/>
    </xf>
    <xf numFmtId="0" fontId="92" fillId="0" borderId="1" xfId="0" applyFont="1" applyBorder="1" applyAlignment="1">
      <alignment horizontal="center" vertical="center" wrapText="1"/>
    </xf>
    <xf numFmtId="0" fontId="92" fillId="2" borderId="3" xfId="0" applyFont="1" applyFill="1" applyBorder="1" applyAlignment="1">
      <alignment horizontal="center" vertical="center" wrapText="1"/>
    </xf>
    <xf numFmtId="0" fontId="92" fillId="2" borderId="7" xfId="0" applyFont="1" applyFill="1" applyBorder="1" applyAlignment="1">
      <alignment horizontal="center" vertical="center" wrapText="1"/>
    </xf>
    <xf numFmtId="0" fontId="92" fillId="2" borderId="4" xfId="0" applyFont="1" applyFill="1" applyBorder="1" applyAlignment="1">
      <alignment horizontal="center" vertical="center" wrapText="1"/>
    </xf>
    <xf numFmtId="0" fontId="109" fillId="0" borderId="0" xfId="0" applyFont="1" applyAlignment="1">
      <alignment horizontal="center" vertical="center"/>
    </xf>
    <xf numFmtId="0" fontId="34" fillId="0" borderId="0" xfId="0" applyFont="1" applyAlignment="1">
      <alignment horizontal="center" vertical="center"/>
    </xf>
    <xf numFmtId="0" fontId="5" fillId="0" borderId="0" xfId="2" applyFont="1" applyAlignment="1">
      <alignment horizontal="right" vertical="top" wrapText="1"/>
    </xf>
    <xf numFmtId="0" fontId="36" fillId="0" borderId="23" xfId="3" applyFont="1" applyBorder="1" applyAlignment="1">
      <alignment horizontal="center" vertical="top" wrapText="1"/>
    </xf>
    <xf numFmtId="0" fontId="36" fillId="0" borderId="2" xfId="3" applyFont="1" applyBorder="1" applyAlignment="1">
      <alignment horizontal="center" vertical="top" wrapText="1"/>
    </xf>
    <xf numFmtId="0" fontId="45" fillId="0" borderId="0" xfId="3" applyFont="1" applyAlignment="1">
      <alignment horizontal="center"/>
    </xf>
    <xf numFmtId="0" fontId="7" fillId="0" borderId="0" xfId="3" applyFont="1" applyAlignment="1">
      <alignment horizontal="center"/>
    </xf>
    <xf numFmtId="0" fontId="110" fillId="0" borderId="0" xfId="3" applyFont="1" applyAlignment="1">
      <alignment horizontal="center"/>
    </xf>
    <xf numFmtId="0" fontId="5" fillId="0" borderId="7" xfId="3" applyFont="1" applyBorder="1" applyAlignment="1">
      <alignment horizontal="center" vertical="top" wrapText="1"/>
    </xf>
    <xf numFmtId="0" fontId="10" fillId="0" borderId="23" xfId="3" applyBorder="1" applyAlignment="1">
      <alignment horizontal="center" vertical="center" wrapText="1"/>
    </xf>
    <xf numFmtId="0" fontId="10" fillId="0" borderId="25" xfId="3" applyBorder="1" applyAlignment="1">
      <alignment horizontal="center" vertical="center" wrapText="1"/>
    </xf>
    <xf numFmtId="0" fontId="10" fillId="0" borderId="2" xfId="3" applyBorder="1" applyAlignment="1">
      <alignment horizontal="center" vertical="center" wrapText="1"/>
    </xf>
    <xf numFmtId="0" fontId="65" fillId="0" borderId="51" xfId="3" applyFont="1" applyBorder="1" applyAlignment="1">
      <alignment horizontal="center" vertical="center" wrapText="1"/>
    </xf>
    <xf numFmtId="0" fontId="65" fillId="0" borderId="13" xfId="3" quotePrefix="1" applyFont="1" applyBorder="1" applyAlignment="1">
      <alignment horizontal="center" vertical="center" wrapText="1"/>
    </xf>
    <xf numFmtId="0" fontId="65" fillId="0" borderId="52" xfId="3" quotePrefix="1" applyFont="1" applyBorder="1" applyAlignment="1">
      <alignment horizontal="center" vertical="center" wrapText="1"/>
    </xf>
    <xf numFmtId="0" fontId="65" fillId="0" borderId="62" xfId="3" quotePrefix="1" applyFont="1" applyBorder="1" applyAlignment="1">
      <alignment horizontal="center" vertical="center" wrapText="1"/>
    </xf>
    <xf numFmtId="0" fontId="65" fillId="0" borderId="0" xfId="3" quotePrefix="1" applyFont="1" applyBorder="1" applyAlignment="1">
      <alignment horizontal="center" vertical="center" wrapText="1"/>
    </xf>
    <xf numFmtId="0" fontId="65" fillId="0" borderId="41" xfId="3" quotePrefix="1" applyFont="1" applyBorder="1" applyAlignment="1">
      <alignment horizontal="center" vertical="center" wrapText="1"/>
    </xf>
    <xf numFmtId="0" fontId="65" fillId="0" borderId="24" xfId="3" quotePrefix="1" applyFont="1" applyBorder="1" applyAlignment="1">
      <alignment horizontal="center" vertical="center" wrapText="1"/>
    </xf>
    <xf numFmtId="0" fontId="65" fillId="0" borderId="6" xfId="3" quotePrefix="1" applyFont="1" applyBorder="1" applyAlignment="1">
      <alignment horizontal="center" vertical="center" wrapText="1"/>
    </xf>
    <xf numFmtId="0" fontId="65" fillId="0" borderId="50" xfId="3" quotePrefix="1" applyFont="1" applyBorder="1" applyAlignment="1">
      <alignment horizontal="center" vertical="center" wrapText="1"/>
    </xf>
    <xf numFmtId="0" fontId="5" fillId="0" borderId="13" xfId="2" applyFont="1" applyBorder="1" applyAlignment="1">
      <alignment horizontal="left" vertical="center" wrapText="1"/>
    </xf>
    <xf numFmtId="0" fontId="5" fillId="0" borderId="0" xfId="2" applyFont="1" applyBorder="1" applyAlignment="1">
      <alignment horizontal="left" vertical="center" wrapText="1"/>
    </xf>
    <xf numFmtId="0" fontId="62" fillId="0" borderId="0" xfId="0" applyFont="1" applyAlignment="1">
      <alignment horizontal="center"/>
    </xf>
    <xf numFmtId="0" fontId="103" fillId="0" borderId="0" xfId="0" applyFont="1" applyAlignment="1">
      <alignment horizontal="center" vertical="center"/>
    </xf>
    <xf numFmtId="0" fontId="5" fillId="0" borderId="23" xfId="3" applyFont="1" applyBorder="1" applyAlignment="1">
      <alignment horizontal="center" vertical="center" wrapText="1"/>
    </xf>
    <xf numFmtId="0" fontId="5" fillId="0" borderId="2" xfId="3" applyFont="1" applyBorder="1" applyAlignment="1">
      <alignment horizontal="center" vertical="center" wrapText="1"/>
    </xf>
    <xf numFmtId="0" fontId="33" fillId="0" borderId="0" xfId="3" applyFont="1" applyAlignment="1">
      <alignment horizontal="center"/>
    </xf>
    <xf numFmtId="0" fontId="34" fillId="0" borderId="0" xfId="3" applyFont="1" applyAlignment="1">
      <alignment horizontal="center"/>
    </xf>
    <xf numFmtId="0" fontId="5" fillId="0" borderId="3" xfId="3" applyFont="1" applyBorder="1" applyAlignment="1">
      <alignment horizontal="center" vertical="top" wrapText="1"/>
    </xf>
    <xf numFmtId="0" fontId="5" fillId="0" borderId="4" xfId="3" applyFont="1" applyBorder="1" applyAlignment="1">
      <alignment horizontal="center" vertical="top" wrapText="1"/>
    </xf>
    <xf numFmtId="0" fontId="103" fillId="0" borderId="0" xfId="3" applyFont="1" applyAlignment="1">
      <alignment horizontal="center"/>
    </xf>
    <xf numFmtId="0" fontId="5" fillId="0" borderId="24" xfId="0" applyFont="1" applyBorder="1" applyAlignment="1">
      <alignment horizontal="center" vertical="center" wrapText="1"/>
    </xf>
    <xf numFmtId="0" fontId="102" fillId="0" borderId="0" xfId="4" applyFont="1" applyAlignment="1">
      <alignment horizontal="center"/>
    </xf>
    <xf numFmtId="0" fontId="5" fillId="0" borderId="1" xfId="4" applyFont="1" applyBorder="1" applyAlignment="1">
      <alignment horizontal="center" vertical="center" wrapText="1"/>
    </xf>
    <xf numFmtId="0" fontId="0" fillId="0" borderId="1" xfId="0" applyBorder="1" applyAlignment="1">
      <alignment horizontal="center" vertical="center" wrapText="1"/>
    </xf>
    <xf numFmtId="0" fontId="9" fillId="0" borderId="0" xfId="4" applyFont="1" applyAlignment="1">
      <alignment horizontal="center" vertical="top" wrapText="1"/>
    </xf>
    <xf numFmtId="0" fontId="5" fillId="0" borderId="3" xfId="4" applyFont="1" applyBorder="1" applyAlignment="1">
      <alignment horizontal="center" vertical="center" wrapText="1"/>
    </xf>
    <xf numFmtId="0" fontId="5" fillId="0" borderId="4" xfId="4" applyFont="1" applyBorder="1" applyAlignment="1">
      <alignment horizontal="center" vertical="center" wrapText="1"/>
    </xf>
    <xf numFmtId="0" fontId="10" fillId="0" borderId="0" xfId="4" applyAlignment="1">
      <alignment horizontal="center"/>
    </xf>
    <xf numFmtId="0" fontId="5" fillId="0" borderId="23" xfId="4" applyFont="1" applyBorder="1" applyAlignment="1">
      <alignment horizontal="center" vertical="center" wrapText="1"/>
    </xf>
    <xf numFmtId="0" fontId="5" fillId="0" borderId="2" xfId="4" applyFont="1" applyBorder="1" applyAlignment="1">
      <alignment horizontal="center" vertical="center" wrapText="1"/>
    </xf>
    <xf numFmtId="0" fontId="5" fillId="0" borderId="3" xfId="4" applyFont="1" applyBorder="1" applyAlignment="1">
      <alignment horizontal="center" vertical="top"/>
    </xf>
    <xf numFmtId="0" fontId="5" fillId="0" borderId="4" xfId="4" applyFont="1" applyBorder="1" applyAlignment="1">
      <alignment horizontal="center" vertical="top"/>
    </xf>
    <xf numFmtId="0" fontId="5" fillId="0" borderId="1" xfId="4" applyFont="1" applyBorder="1" applyAlignment="1">
      <alignment horizontal="center" vertical="top"/>
    </xf>
    <xf numFmtId="0" fontId="90" fillId="0" borderId="0" xfId="4" applyFont="1" applyAlignment="1">
      <alignment horizontal="center" wrapText="1"/>
    </xf>
    <xf numFmtId="0" fontId="51" fillId="0" borderId="0" xfId="4" applyFont="1" applyAlignment="1">
      <alignment horizontal="center"/>
    </xf>
    <xf numFmtId="0" fontId="51" fillId="0" borderId="0" xfId="4" applyFont="1" applyAlignment="1">
      <alignment horizontal="right" vertical="top" wrapText="1"/>
    </xf>
    <xf numFmtId="0" fontId="52" fillId="0" borderId="0" xfId="0" applyFont="1" applyAlignment="1">
      <alignment horizontal="left"/>
    </xf>
    <xf numFmtId="0" fontId="52" fillId="0" borderId="0" xfId="4" applyFont="1" applyAlignment="1">
      <alignment horizontal="left"/>
    </xf>
    <xf numFmtId="0" fontId="90" fillId="0" borderId="0" xfId="4" applyFont="1" applyAlignment="1">
      <alignment horizontal="center"/>
    </xf>
    <xf numFmtId="0" fontId="9" fillId="0" borderId="1" xfId="4" applyFont="1" applyBorder="1" applyAlignment="1">
      <alignment horizontal="center" vertical="center"/>
    </xf>
    <xf numFmtId="0" fontId="9" fillId="0" borderId="0" xfId="5" applyFont="1" applyAlignment="1">
      <alignment horizontal="center"/>
    </xf>
    <xf numFmtId="0" fontId="5" fillId="0" borderId="0" xfId="4" applyFont="1" applyAlignment="1">
      <alignment horizontal="center" vertical="top" wrapText="1"/>
    </xf>
    <xf numFmtId="0" fontId="105" fillId="0" borderId="0" xfId="4" applyFont="1" applyAlignment="1">
      <alignment horizontal="center"/>
    </xf>
    <xf numFmtId="0" fontId="7" fillId="0" borderId="51" xfId="4" applyFont="1" applyBorder="1" applyAlignment="1">
      <alignment horizontal="center" vertical="center"/>
    </xf>
    <xf numFmtId="0" fontId="7" fillId="0" borderId="13" xfId="4" applyFont="1" applyBorder="1" applyAlignment="1">
      <alignment horizontal="center" vertical="center"/>
    </xf>
    <xf numFmtId="0" fontId="7" fillId="0" borderId="52" xfId="4" applyFont="1" applyBorder="1" applyAlignment="1">
      <alignment horizontal="center" vertical="center"/>
    </xf>
    <xf numFmtId="0" fontId="7" fillId="0" borderId="62" xfId="4" applyFont="1" applyBorder="1" applyAlignment="1">
      <alignment horizontal="center" vertical="center"/>
    </xf>
    <xf numFmtId="0" fontId="7" fillId="0" borderId="0" xfId="4" applyFont="1" applyBorder="1" applyAlignment="1">
      <alignment horizontal="center" vertical="center"/>
    </xf>
    <xf numFmtId="0" fontId="7" fillId="0" borderId="41" xfId="4" applyFont="1" applyBorder="1" applyAlignment="1">
      <alignment horizontal="center" vertical="center"/>
    </xf>
    <xf numFmtId="0" fontId="7" fillId="0" borderId="24" xfId="4" applyFont="1" applyBorder="1" applyAlignment="1">
      <alignment horizontal="center" vertical="center"/>
    </xf>
    <xf numFmtId="0" fontId="7" fillId="0" borderId="6" xfId="4" applyFont="1" applyBorder="1" applyAlignment="1">
      <alignment horizontal="center" vertical="center"/>
    </xf>
    <xf numFmtId="0" fontId="7" fillId="0" borderId="50" xfId="4" applyFont="1" applyBorder="1" applyAlignment="1">
      <alignment horizontal="center" vertical="center"/>
    </xf>
    <xf numFmtId="0" fontId="33" fillId="0" borderId="0" xfId="0" applyFont="1" applyAlignment="1">
      <alignment horizontal="right"/>
    </xf>
    <xf numFmtId="0" fontId="44" fillId="0" borderId="0" xfId="0" applyFont="1" applyAlignment="1">
      <alignment horizontal="center"/>
    </xf>
    <xf numFmtId="0" fontId="111" fillId="0" borderId="0" xfId="0" applyFont="1" applyAlignment="1">
      <alignment horizontal="center"/>
    </xf>
    <xf numFmtId="0" fontId="41" fillId="0" borderId="51" xfId="0" applyFont="1" applyBorder="1" applyAlignment="1">
      <alignment horizontal="center" vertical="center"/>
    </xf>
    <xf numFmtId="0" fontId="42" fillId="0" borderId="13" xfId="0" applyFont="1" applyBorder="1" applyAlignment="1">
      <alignment horizontal="center" vertical="center"/>
    </xf>
    <xf numFmtId="0" fontId="42" fillId="0" borderId="52" xfId="0" applyFont="1" applyBorder="1" applyAlignment="1">
      <alignment horizontal="center" vertical="center"/>
    </xf>
    <xf numFmtId="0" fontId="42" fillId="0" borderId="62" xfId="0" applyFont="1" applyBorder="1" applyAlignment="1">
      <alignment horizontal="center" vertical="center"/>
    </xf>
    <xf numFmtId="0" fontId="42" fillId="0" borderId="0" xfId="0" applyFont="1" applyBorder="1" applyAlignment="1">
      <alignment horizontal="center" vertical="center"/>
    </xf>
    <xf numFmtId="0" fontId="42" fillId="0" borderId="41" xfId="0" applyFont="1" applyBorder="1" applyAlignment="1">
      <alignment horizontal="center" vertical="center"/>
    </xf>
    <xf numFmtId="0" fontId="42" fillId="0" borderId="24" xfId="0" applyFont="1" applyBorder="1" applyAlignment="1">
      <alignment horizontal="center" vertical="center"/>
    </xf>
    <xf numFmtId="0" fontId="42" fillId="0" borderId="6" xfId="0" applyFont="1" applyBorder="1" applyAlignment="1">
      <alignment horizontal="center" vertical="center"/>
    </xf>
    <xf numFmtId="0" fontId="42" fillId="0" borderId="50" xfId="0" applyFont="1" applyBorder="1" applyAlignment="1">
      <alignment horizontal="center" vertical="center"/>
    </xf>
    <xf numFmtId="0" fontId="40" fillId="0" borderId="51" xfId="0" applyFont="1" applyBorder="1" applyAlignment="1">
      <alignment horizontal="center" vertical="center"/>
    </xf>
    <xf numFmtId="0" fontId="0" fillId="0" borderId="13" xfId="0" applyBorder="1"/>
    <xf numFmtId="0" fontId="0" fillId="0" borderId="52" xfId="0" applyBorder="1"/>
    <xf numFmtId="0" fontId="0" fillId="0" borderId="62" xfId="0" applyBorder="1"/>
    <xf numFmtId="0" fontId="0" fillId="0" borderId="0" xfId="0"/>
    <xf numFmtId="0" fontId="0" fillId="0" borderId="41" xfId="0" applyBorder="1"/>
    <xf numFmtId="0" fontId="0" fillId="0" borderId="24" xfId="0" applyBorder="1"/>
    <xf numFmtId="0" fontId="0" fillId="0" borderId="6" xfId="0" applyBorder="1"/>
    <xf numFmtId="0" fontId="0" fillId="0" borderId="50" xfId="0" applyBorder="1"/>
    <xf numFmtId="0" fontId="5" fillId="0" borderId="0" xfId="2" applyFont="1" applyAlignment="1">
      <alignment horizontal="right"/>
    </xf>
    <xf numFmtId="0" fontId="5" fillId="2" borderId="23" xfId="2" quotePrefix="1" applyFont="1" applyFill="1" applyBorder="1" applyAlignment="1">
      <alignment horizontal="center" vertical="center" wrapText="1"/>
    </xf>
    <xf numFmtId="0" fontId="5" fillId="2" borderId="2" xfId="2" quotePrefix="1" applyFont="1" applyFill="1" applyBorder="1" applyAlignment="1">
      <alignment horizontal="center" vertical="center" wrapText="1"/>
    </xf>
    <xf numFmtId="0" fontId="5" fillId="2" borderId="1" xfId="2" quotePrefix="1"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7" xfId="2" quotePrefix="1" applyFont="1" applyFill="1" applyBorder="1" applyAlignment="1">
      <alignment horizontal="center" vertical="center" wrapText="1"/>
    </xf>
    <xf numFmtId="0" fontId="5" fillId="2" borderId="4" xfId="2" quotePrefix="1" applyFont="1" applyFill="1" applyBorder="1" applyAlignment="1">
      <alignment horizontal="center" vertical="center" wrapText="1"/>
    </xf>
    <xf numFmtId="0" fontId="84" fillId="0" borderId="23" xfId="0" applyFont="1" applyBorder="1" applyAlignment="1">
      <alignment horizontal="center" vertical="top" wrapText="1"/>
    </xf>
    <xf numFmtId="0" fontId="84" fillId="0" borderId="25" xfId="0" applyFont="1" applyBorder="1" applyAlignment="1">
      <alignment horizontal="center" vertical="top" wrapText="1"/>
    </xf>
    <xf numFmtId="0" fontId="84" fillId="0" borderId="2" xfId="0" applyFont="1" applyBorder="1" applyAlignment="1">
      <alignment horizontal="center" vertical="top" wrapText="1"/>
    </xf>
    <xf numFmtId="0" fontId="84" fillId="0" borderId="51" xfId="0" applyFont="1" applyBorder="1" applyAlignment="1">
      <alignment horizontal="center" vertical="center" wrapText="1"/>
    </xf>
    <xf numFmtId="0" fontId="84" fillId="0" borderId="13" xfId="0" applyFont="1" applyBorder="1" applyAlignment="1">
      <alignment horizontal="center" vertical="center" wrapText="1"/>
    </xf>
    <xf numFmtId="0" fontId="84" fillId="0" borderId="52" xfId="0" applyFont="1" applyBorder="1" applyAlignment="1">
      <alignment horizontal="center" vertical="center" wrapText="1"/>
    </xf>
    <xf numFmtId="0" fontId="84" fillId="0" borderId="62"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41" xfId="0" applyFont="1" applyBorder="1" applyAlignment="1">
      <alignment horizontal="center" vertical="center" wrapText="1"/>
    </xf>
    <xf numFmtId="0" fontId="58" fillId="0" borderId="0" xfId="0" applyFont="1" applyAlignment="1">
      <alignment horizontal="right"/>
    </xf>
    <xf numFmtId="0" fontId="112" fillId="0" borderId="0" xfId="0" applyFont="1" applyBorder="1" applyAlignment="1">
      <alignment horizontal="center" vertical="top"/>
    </xf>
    <xf numFmtId="0" fontId="112" fillId="0" borderId="0" xfId="0" applyFont="1" applyAlignment="1">
      <alignment horizontal="center" vertical="center"/>
    </xf>
    <xf numFmtId="0" fontId="75" fillId="0" borderId="0" xfId="0" applyFont="1" applyBorder="1" applyAlignment="1">
      <alignment horizontal="center" vertical="center"/>
    </xf>
    <xf numFmtId="0" fontId="76" fillId="0" borderId="3" xfId="0" applyFont="1" applyBorder="1" applyAlignment="1">
      <alignment horizontal="center" vertical="center" wrapText="1"/>
    </xf>
    <xf numFmtId="0" fontId="76" fillId="0" borderId="7" xfId="0" applyFont="1" applyBorder="1" applyAlignment="1">
      <alignment horizontal="center" vertical="center" wrapText="1"/>
    </xf>
    <xf numFmtId="0" fontId="76" fillId="0" borderId="4" xfId="0" applyFont="1" applyBorder="1" applyAlignment="1">
      <alignment horizontal="center" vertical="center" wrapText="1"/>
    </xf>
    <xf numFmtId="0" fontId="64" fillId="0" borderId="0" xfId="0" applyFont="1" applyAlignment="1">
      <alignment horizontal="center" vertical="center" wrapText="1"/>
    </xf>
    <xf numFmtId="0" fontId="18" fillId="0" borderId="25" xfId="0" applyFont="1" applyBorder="1" applyAlignment="1">
      <alignment horizontal="center" vertical="center" wrapText="1"/>
    </xf>
    <xf numFmtId="0" fontId="15" fillId="0" borderId="0" xfId="0" applyFont="1" applyAlignment="1">
      <alignment horizontal="center" vertical="top" wrapText="1"/>
    </xf>
    <xf numFmtId="0" fontId="102" fillId="2" borderId="0" xfId="0" applyFont="1" applyFill="1" applyBorder="1" applyAlignment="1">
      <alignment horizontal="center" vertical="center" wrapText="1"/>
    </xf>
    <xf numFmtId="0" fontId="51" fillId="0" borderId="0" xfId="0" applyFont="1" applyBorder="1" applyAlignment="1">
      <alignment horizontal="right"/>
    </xf>
    <xf numFmtId="0" fontId="5" fillId="0" borderId="0" xfId="0" applyFont="1" applyAlignment="1">
      <alignment horizontal="right"/>
    </xf>
    <xf numFmtId="0" fontId="5" fillId="2" borderId="0" xfId="0" applyFont="1" applyFill="1" applyAlignment="1">
      <alignment horizontal="left"/>
    </xf>
    <xf numFmtId="0" fontId="18" fillId="0" borderId="0" xfId="0" applyFont="1" applyAlignment="1">
      <alignment horizontal="right"/>
    </xf>
    <xf numFmtId="0" fontId="104" fillId="0" borderId="0" xfId="0" applyFont="1" applyBorder="1" applyAlignment="1">
      <alignment horizontal="center" wrapText="1"/>
    </xf>
    <xf numFmtId="0" fontId="90" fillId="0" borderId="0" xfId="0" applyFont="1" applyBorder="1" applyAlignment="1">
      <alignment horizontal="center" wrapText="1"/>
    </xf>
    <xf numFmtId="0" fontId="5" fillId="0" borderId="6" xfId="0" applyFont="1" applyBorder="1" applyAlignment="1">
      <alignment horizontal="right"/>
    </xf>
    <xf numFmtId="0" fontId="5" fillId="0" borderId="6" xfId="0" applyFont="1" applyBorder="1" applyAlignment="1">
      <alignment horizontal="center" vertical="center" wrapText="1"/>
    </xf>
    <xf numFmtId="0" fontId="5" fillId="0" borderId="50" xfId="0" applyFont="1" applyBorder="1" applyAlignment="1">
      <alignment horizontal="center" vertical="center" wrapText="1"/>
    </xf>
    <xf numFmtId="0" fontId="81" fillId="0" borderId="3" xfId="0" applyFont="1" applyBorder="1" applyAlignment="1">
      <alignment horizontal="center" vertical="center"/>
    </xf>
    <xf numFmtId="0" fontId="81" fillId="0" borderId="7" xfId="0" applyFont="1" applyBorder="1" applyAlignment="1">
      <alignment horizontal="center" vertical="center"/>
    </xf>
    <xf numFmtId="0" fontId="81" fillId="0" borderId="4" xfId="0" applyFont="1" applyBorder="1" applyAlignment="1">
      <alignment horizontal="center" vertical="center"/>
    </xf>
    <xf numFmtId="0" fontId="113" fillId="0" borderId="51" xfId="0" applyFont="1" applyBorder="1" applyAlignment="1">
      <alignment horizontal="center" vertical="center"/>
    </xf>
    <xf numFmtId="0" fontId="113" fillId="0" borderId="13" xfId="0" applyFont="1" applyBorder="1" applyAlignment="1">
      <alignment horizontal="center" vertical="center"/>
    </xf>
    <xf numFmtId="0" fontId="113" fillId="0" borderId="62" xfId="0" applyFont="1" applyBorder="1" applyAlignment="1">
      <alignment horizontal="center" vertical="center"/>
    </xf>
    <xf numFmtId="0" fontId="113" fillId="0" borderId="0" xfId="0" applyFont="1" applyBorder="1" applyAlignment="1">
      <alignment horizontal="center" vertical="center"/>
    </xf>
    <xf numFmtId="0" fontId="25" fillId="0" borderId="3" xfId="2" applyFont="1" applyFill="1" applyBorder="1" applyAlignment="1">
      <alignment horizontal="center" vertical="center" wrapText="1"/>
    </xf>
    <xf numFmtId="0" fontId="25" fillId="0" borderId="7" xfId="2" applyFont="1" applyFill="1" applyBorder="1" applyAlignment="1">
      <alignment horizontal="center" vertical="center" wrapText="1"/>
    </xf>
    <xf numFmtId="0" fontId="25" fillId="0" borderId="52" xfId="2" applyFont="1" applyFill="1" applyBorder="1" applyAlignment="1">
      <alignment horizontal="center" vertical="center" wrapText="1"/>
    </xf>
    <xf numFmtId="0" fontId="6" fillId="0" borderId="0" xfId="0" applyFont="1" applyFill="1" applyAlignment="1">
      <alignment horizontal="center"/>
    </xf>
    <xf numFmtId="0" fontId="90" fillId="0" borderId="0" xfId="2" applyFont="1" applyFill="1" applyAlignment="1">
      <alignment horizontal="center"/>
    </xf>
    <xf numFmtId="0" fontId="5" fillId="0" borderId="1" xfId="2" applyFont="1" applyFill="1" applyBorder="1" applyAlignment="1">
      <alignment horizontal="center" vertical="center" wrapText="1"/>
    </xf>
    <xf numFmtId="0" fontId="25" fillId="0" borderId="4" xfId="2" applyFont="1" applyFill="1" applyBorder="1" applyAlignment="1">
      <alignment horizontal="center" vertical="center" wrapText="1"/>
    </xf>
    <xf numFmtId="0" fontId="51" fillId="0" borderId="0" xfId="0" applyFont="1" applyFill="1" applyAlignment="1">
      <alignment horizontal="left"/>
    </xf>
    <xf numFmtId="0" fontId="25" fillId="0" borderId="23" xfId="2" applyFont="1" applyFill="1" applyBorder="1" applyAlignment="1">
      <alignment horizontal="center" vertical="center" wrapText="1"/>
    </xf>
    <xf numFmtId="0" fontId="25" fillId="0" borderId="2" xfId="2" applyFont="1" applyFill="1" applyBorder="1" applyAlignment="1">
      <alignment horizontal="center" vertical="center" wrapText="1"/>
    </xf>
    <xf numFmtId="0" fontId="18" fillId="0" borderId="0" xfId="0" applyFont="1" applyFill="1" applyAlignment="1">
      <alignment horizontal="center" vertical="top" wrapText="1"/>
    </xf>
    <xf numFmtId="0" fontId="23" fillId="0" borderId="1" xfId="2" applyFont="1" applyFill="1" applyBorder="1" applyAlignment="1">
      <alignment horizontal="center" vertical="center" wrapText="1"/>
    </xf>
    <xf numFmtId="0" fontId="21" fillId="0" borderId="1" xfId="2" applyFont="1" applyFill="1" applyBorder="1" applyAlignment="1">
      <alignment horizontal="center" vertical="center" wrapText="1"/>
    </xf>
    <xf numFmtId="0" fontId="7" fillId="0" borderId="0" xfId="0" applyFont="1" applyFill="1" applyAlignment="1">
      <alignment horizontal="center"/>
    </xf>
    <xf numFmtId="0" fontId="102" fillId="0" borderId="0" xfId="2" applyFont="1" applyFill="1" applyAlignment="1">
      <alignment horizontal="center"/>
    </xf>
    <xf numFmtId="0" fontId="6" fillId="0" borderId="0" xfId="0" applyFont="1" applyFill="1" applyAlignment="1">
      <alignment horizontal="right"/>
    </xf>
    <xf numFmtId="0" fontId="18" fillId="0" borderId="1" xfId="0" applyFont="1" applyFill="1" applyBorder="1" applyAlignment="1">
      <alignment horizontal="center" vertical="top" wrapText="1"/>
    </xf>
    <xf numFmtId="0" fontId="117" fillId="0" borderId="0" xfId="2" applyFont="1" applyFill="1" applyBorder="1" applyAlignment="1">
      <alignment horizontal="center" vertical="center"/>
    </xf>
    <xf numFmtId="0" fontId="59" fillId="0" borderId="3" xfId="2" applyFont="1" applyBorder="1" applyAlignment="1">
      <alignment horizontal="center" vertical="center" wrapText="1"/>
    </xf>
    <xf numFmtId="0" fontId="59" fillId="0" borderId="7" xfId="2" applyFont="1" applyBorder="1" applyAlignment="1">
      <alignment horizontal="center" vertical="center" wrapText="1"/>
    </xf>
    <xf numFmtId="0" fontId="59" fillId="0" borderId="4" xfId="2" applyFont="1" applyBorder="1" applyAlignment="1">
      <alignment horizontal="center" vertical="center" wrapText="1"/>
    </xf>
    <xf numFmtId="0" fontId="7" fillId="0" borderId="1" xfId="0" applyFont="1" applyBorder="1" applyAlignment="1">
      <alignment horizontal="center" vertical="center" wrapText="1"/>
    </xf>
    <xf numFmtId="0" fontId="61" fillId="0" borderId="23" xfId="2" applyFont="1" applyBorder="1" applyAlignment="1">
      <alignment horizontal="center" vertical="center" wrapText="1"/>
    </xf>
    <xf numFmtId="0" fontId="61" fillId="0" borderId="2" xfId="2"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20" fillId="0" borderId="0" xfId="0" applyFont="1" applyBorder="1" applyAlignment="1">
      <alignment horizontal="center"/>
    </xf>
    <xf numFmtId="0" fontId="119" fillId="0" borderId="0" xfId="2" applyFont="1" applyBorder="1" applyAlignment="1">
      <alignment horizontal="center" vertical="center"/>
    </xf>
    <xf numFmtId="0" fontId="120" fillId="0" borderId="0" xfId="0" applyFont="1" applyBorder="1" applyAlignment="1">
      <alignment horizontal="center" vertical="center"/>
    </xf>
    <xf numFmtId="0" fontId="11" fillId="0" borderId="0" xfId="0" applyFont="1" applyAlignment="1">
      <alignment horizontal="left"/>
    </xf>
    <xf numFmtId="0" fontId="61" fillId="0" borderId="3" xfId="2" applyFont="1" applyBorder="1" applyAlignment="1">
      <alignment horizontal="center" vertical="center" wrapText="1"/>
    </xf>
    <xf numFmtId="0" fontId="61" fillId="0" borderId="7" xfId="2" applyFont="1" applyBorder="1" applyAlignment="1">
      <alignment horizontal="center" vertical="center" wrapText="1"/>
    </xf>
    <xf numFmtId="0" fontId="61" fillId="0" borderId="4" xfId="2" applyFont="1" applyBorder="1" applyAlignment="1">
      <alignment horizontal="center" vertical="center" wrapText="1"/>
    </xf>
    <xf numFmtId="0" fontId="116" fillId="0" borderId="0" xfId="2" applyFont="1" applyFill="1" applyBorder="1" applyAlignment="1">
      <alignment horizontal="center" vertical="center"/>
    </xf>
    <xf numFmtId="0" fontId="69" fillId="0" borderId="13" xfId="2" applyFont="1" applyFill="1" applyBorder="1" applyAlignment="1">
      <alignment vertical="center"/>
    </xf>
    <xf numFmtId="0" fontId="61" fillId="0" borderId="1" xfId="2" applyFont="1" applyBorder="1" applyAlignment="1">
      <alignment horizontal="center" vertical="center" wrapText="1"/>
    </xf>
    <xf numFmtId="0" fontId="114" fillId="0" borderId="0" xfId="0" applyFont="1" applyAlignment="1">
      <alignment horizontal="center"/>
    </xf>
    <xf numFmtId="0" fontId="25" fillId="0" borderId="23" xfId="2" applyFont="1" applyBorder="1" applyAlignment="1">
      <alignment horizontal="center" vertical="center" wrapText="1"/>
    </xf>
    <xf numFmtId="0" fontId="25" fillId="0" borderId="25" xfId="2" applyFont="1" applyBorder="1" applyAlignment="1">
      <alignment horizontal="center" vertical="center" wrapText="1"/>
    </xf>
    <xf numFmtId="0" fontId="25" fillId="0" borderId="1" xfId="2" applyFont="1" applyBorder="1" applyAlignment="1">
      <alignment horizontal="center" vertical="center" wrapText="1"/>
    </xf>
    <xf numFmtId="0" fontId="23" fillId="0" borderId="23" xfId="2" applyFont="1" applyBorder="1" applyAlignment="1">
      <alignment horizontal="center" vertical="center"/>
    </xf>
    <xf numFmtId="0" fontId="23" fillId="0" borderId="25" xfId="2" applyFont="1" applyBorder="1" applyAlignment="1">
      <alignment horizontal="center" vertical="center"/>
    </xf>
    <xf numFmtId="0" fontId="23" fillId="0" borderId="2" xfId="2" applyFont="1" applyBorder="1" applyAlignment="1">
      <alignment horizontal="center" vertical="center"/>
    </xf>
    <xf numFmtId="0" fontId="25" fillId="0" borderId="2" xfId="2" applyFont="1" applyBorder="1" applyAlignment="1">
      <alignment horizontal="center" vertical="center" wrapText="1"/>
    </xf>
    <xf numFmtId="0" fontId="15" fillId="0" borderId="0" xfId="0" applyFont="1" applyAlignment="1">
      <alignment horizontal="justify" vertical="top" wrapText="1"/>
    </xf>
    <xf numFmtId="0" fontId="10" fillId="0" borderId="0" xfId="0" applyFont="1" applyAlignment="1">
      <alignment horizontal="justify" vertical="top" wrapText="1"/>
    </xf>
    <xf numFmtId="0" fontId="0" fillId="0" borderId="0" xfId="0" applyAlignment="1">
      <alignment wrapText="1"/>
    </xf>
    <xf numFmtId="0" fontId="23" fillId="0" borderId="1" xfId="2" applyFont="1" applyBorder="1" applyAlignment="1">
      <alignment horizontal="center" vertical="center" wrapText="1"/>
    </xf>
    <xf numFmtId="0" fontId="5" fillId="0" borderId="3" xfId="5" applyFont="1" applyBorder="1" applyAlignment="1">
      <alignment horizontal="center" vertical="center" wrapText="1"/>
    </xf>
    <xf numFmtId="0" fontId="5" fillId="0" borderId="7" xfId="5" applyFont="1" applyBorder="1" applyAlignment="1">
      <alignment horizontal="center" vertical="center" wrapText="1"/>
    </xf>
    <xf numFmtId="0" fontId="5" fillId="0" borderId="4" xfId="5" applyFont="1" applyBorder="1" applyAlignment="1">
      <alignment horizontal="center" vertical="center" wrapText="1"/>
    </xf>
    <xf numFmtId="0" fontId="90" fillId="0" borderId="0" xfId="5" applyFont="1" applyAlignment="1">
      <alignment horizontal="center"/>
    </xf>
    <xf numFmtId="0" fontId="11" fillId="0" borderId="3" xfId="5" applyFont="1" applyBorder="1" applyAlignment="1">
      <alignment horizontal="center" vertical="center" wrapText="1"/>
    </xf>
    <xf numFmtId="0" fontId="11" fillId="0" borderId="4" xfId="5" applyFont="1" applyBorder="1" applyAlignment="1">
      <alignment horizontal="center" vertical="center" wrapText="1"/>
    </xf>
    <xf numFmtId="0" fontId="10" fillId="0" borderId="0" xfId="5"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xf>
    <xf numFmtId="0" fontId="5" fillId="0" borderId="7" xfId="5" applyFont="1" applyBorder="1" applyAlignment="1">
      <alignment horizontal="center" vertical="center"/>
    </xf>
    <xf numFmtId="0" fontId="5" fillId="0" borderId="4" xfId="5" applyFont="1" applyBorder="1" applyAlignment="1">
      <alignment horizontal="center" vertical="center"/>
    </xf>
    <xf numFmtId="0" fontId="19" fillId="0" borderId="0" xfId="5" applyFont="1" applyAlignment="1">
      <alignment horizontal="center"/>
    </xf>
    <xf numFmtId="0" fontId="18" fillId="0" borderId="0" xfId="5" applyFont="1" applyAlignment="1">
      <alignment horizontal="center"/>
    </xf>
    <xf numFmtId="0" fontId="7" fillId="0" borderId="0" xfId="4" applyFont="1" applyAlignment="1">
      <alignment horizontal="center"/>
    </xf>
    <xf numFmtId="0" fontId="10" fillId="0" borderId="11" xfId="4" applyBorder="1" applyAlignment="1">
      <alignment horizontal="center" vertical="center"/>
    </xf>
    <xf numFmtId="0" fontId="10" fillId="0" borderId="12" xfId="4" applyBorder="1" applyAlignment="1">
      <alignment horizontal="center" vertical="center"/>
    </xf>
    <xf numFmtId="0" fontId="10" fillId="0" borderId="6" xfId="4" applyBorder="1" applyAlignment="1">
      <alignment horizontal="left" vertical="center"/>
    </xf>
    <xf numFmtId="0" fontId="10" fillId="0" borderId="7" xfId="4" applyBorder="1" applyAlignment="1">
      <alignment horizontal="left" vertical="center"/>
    </xf>
    <xf numFmtId="0" fontId="10" fillId="0" borderId="14" xfId="4" applyBorder="1" applyAlignment="1">
      <alignment horizontal="center" vertical="center"/>
    </xf>
    <xf numFmtId="0" fontId="10" fillId="0" borderId="14" xfId="4" applyBorder="1" applyAlignment="1">
      <alignment horizontal="left" vertical="center"/>
    </xf>
    <xf numFmtId="0" fontId="10" fillId="0" borderId="11" xfId="4" applyBorder="1" applyAlignment="1">
      <alignment horizontal="left" vertical="center"/>
    </xf>
    <xf numFmtId="0" fontId="10" fillId="0" borderId="14" xfId="4" applyBorder="1" applyAlignment="1">
      <alignment horizontal="left"/>
    </xf>
    <xf numFmtId="0" fontId="10" fillId="0" borderId="11" xfId="4" applyBorder="1" applyAlignment="1">
      <alignment horizontal="left"/>
    </xf>
    <xf numFmtId="49" fontId="10" fillId="0" borderId="14" xfId="4" applyNumberFormat="1" applyBorder="1" applyAlignment="1">
      <alignment horizontal="center" vertical="center"/>
    </xf>
    <xf numFmtId="49" fontId="10" fillId="0" borderId="11" xfId="4" applyNumberFormat="1" applyBorder="1" applyAlignment="1">
      <alignment horizontal="center" vertical="center"/>
    </xf>
    <xf numFmtId="49" fontId="10" fillId="0" borderId="14" xfId="4" applyNumberFormat="1" applyFont="1" applyBorder="1" applyAlignment="1">
      <alignment horizontal="center" vertical="center" wrapText="1"/>
    </xf>
    <xf numFmtId="49" fontId="10" fillId="0" borderId="11" xfId="4" applyNumberFormat="1" applyFont="1" applyBorder="1" applyAlignment="1">
      <alignment horizontal="center" vertical="center" wrapText="1"/>
    </xf>
    <xf numFmtId="0" fontId="10" fillId="0" borderId="14" xfId="4" applyBorder="1" applyAlignment="1">
      <alignment horizontal="center" vertical="center" wrapText="1"/>
    </xf>
    <xf numFmtId="0" fontId="10" fillId="0" borderId="11" xfId="4" applyBorder="1" applyAlignment="1">
      <alignment horizontal="center" vertical="center" wrapText="1"/>
    </xf>
    <xf numFmtId="0" fontId="10" fillId="0" borderId="14" xfId="4" applyFont="1" applyBorder="1" applyAlignment="1">
      <alignment horizontal="left"/>
    </xf>
    <xf numFmtId="49" fontId="5" fillId="0" borderId="14" xfId="4" applyNumberFormat="1" applyFont="1" applyBorder="1" applyAlignment="1">
      <alignment horizontal="center" vertical="center" wrapText="1"/>
    </xf>
    <xf numFmtId="49" fontId="5" fillId="0" borderId="11" xfId="4" applyNumberFormat="1" applyFont="1" applyBorder="1" applyAlignment="1">
      <alignment horizontal="center" vertical="center" wrapText="1"/>
    </xf>
    <xf numFmtId="0" fontId="10" fillId="0" borderId="14" xfId="4" applyBorder="1" applyAlignment="1">
      <alignment horizontal="left" vertical="center" wrapText="1"/>
    </xf>
    <xf numFmtId="0" fontId="10" fillId="0" borderId="11" xfId="4" applyBorder="1" applyAlignment="1">
      <alignment horizontal="left" vertical="center" wrapText="1"/>
    </xf>
    <xf numFmtId="0" fontId="10" fillId="0" borderId="0" xfId="4" applyFont="1"/>
    <xf numFmtId="0" fontId="5" fillId="0" borderId="1" xfId="4" applyFont="1" applyBorder="1" applyAlignment="1">
      <alignment horizontal="center" vertical="center"/>
    </xf>
    <xf numFmtId="0" fontId="5" fillId="0" borderId="0" xfId="4" applyFont="1" applyAlignment="1">
      <alignment horizontal="right" vertical="top" wrapText="1"/>
    </xf>
    <xf numFmtId="0" fontId="5" fillId="0" borderId="0" xfId="4" applyFont="1" applyAlignment="1">
      <alignment horizontal="left"/>
    </xf>
    <xf numFmtId="0" fontId="5" fillId="0" borderId="0" xfId="4" applyFont="1" applyAlignment="1">
      <alignment horizontal="center"/>
    </xf>
    <xf numFmtId="0" fontId="15" fillId="0" borderId="0" xfId="4" applyFont="1" applyAlignment="1">
      <alignment horizontal="center"/>
    </xf>
    <xf numFmtId="0" fontId="14" fillId="0" borderId="0" xfId="4" applyFont="1" applyAlignment="1">
      <alignment horizontal="center"/>
    </xf>
    <xf numFmtId="0" fontId="8" fillId="0" borderId="0" xfId="4" applyFont="1" applyAlignment="1">
      <alignment horizontal="center" wrapText="1"/>
    </xf>
    <xf numFmtId="0" fontId="20" fillId="0" borderId="6" xfId="4" applyFont="1" applyBorder="1" applyAlignment="1">
      <alignment horizontal="center"/>
    </xf>
    <xf numFmtId="0" fontId="10" fillId="0" borderId="14" xfId="4" applyFont="1" applyBorder="1" applyAlignment="1">
      <alignment horizontal="center" vertical="center"/>
    </xf>
    <xf numFmtId="0" fontId="10" fillId="0" borderId="11" xfId="4" applyFont="1" applyBorder="1" applyAlignment="1">
      <alignment horizontal="center" vertical="center"/>
    </xf>
    <xf numFmtId="0" fontId="10" fillId="0" borderId="13" xfId="4" applyFont="1" applyBorder="1" applyAlignment="1">
      <alignment horizontal="center" vertical="center"/>
    </xf>
    <xf numFmtId="0" fontId="10" fillId="0" borderId="6" xfId="4" applyFont="1" applyBorder="1" applyAlignment="1">
      <alignment horizontal="center" vertical="center"/>
    </xf>
    <xf numFmtId="0" fontId="10" fillId="0" borderId="12" xfId="4" applyFont="1" applyBorder="1" applyAlignment="1">
      <alignment horizontal="center" vertical="center" wrapText="1"/>
    </xf>
    <xf numFmtId="0" fontId="10" fillId="0" borderId="14" xfId="4" applyFont="1" applyFill="1" applyBorder="1" applyAlignment="1">
      <alignment horizontal="center" vertical="center"/>
    </xf>
    <xf numFmtId="0" fontId="10" fillId="0" borderId="11" xfId="4" applyFont="1" applyFill="1" applyBorder="1" applyAlignment="1">
      <alignment horizontal="center" vertical="center"/>
    </xf>
    <xf numFmtId="0" fontId="10" fillId="0" borderId="13" xfId="4" applyFont="1" applyFill="1" applyBorder="1" applyAlignment="1">
      <alignment horizontal="center" vertical="center"/>
    </xf>
    <xf numFmtId="0" fontId="10" fillId="0" borderId="6" xfId="4" applyFont="1" applyFill="1" applyBorder="1" applyAlignment="1">
      <alignment horizontal="center" vertical="center"/>
    </xf>
    <xf numFmtId="0" fontId="10" fillId="0" borderId="13" xfId="4" applyFill="1" applyBorder="1" applyAlignment="1">
      <alignment horizontal="center" vertical="center"/>
    </xf>
    <xf numFmtId="0" fontId="10" fillId="0" borderId="6" xfId="4" applyFill="1" applyBorder="1" applyAlignment="1">
      <alignment horizontal="center" vertical="center"/>
    </xf>
    <xf numFmtId="0" fontId="10" fillId="0" borderId="14" xfId="4" applyFont="1" applyBorder="1" applyAlignment="1">
      <alignment horizontal="center" vertical="center" wrapText="1"/>
    </xf>
    <xf numFmtId="0" fontId="10" fillId="0" borderId="11" xfId="4" applyFont="1" applyBorder="1" applyAlignment="1">
      <alignment horizontal="center" vertical="center" wrapText="1"/>
    </xf>
    <xf numFmtId="0" fontId="10" fillId="0" borderId="12" xfId="4" applyFont="1" applyBorder="1" applyAlignment="1">
      <alignment horizontal="center" vertical="center"/>
    </xf>
    <xf numFmtId="0" fontId="104" fillId="0" borderId="0" xfId="4" applyFont="1" applyAlignment="1">
      <alignment horizontal="center"/>
    </xf>
    <xf numFmtId="0" fontId="115" fillId="0" borderId="0" xfId="4" applyFont="1" applyAlignment="1">
      <alignment horizontal="center"/>
    </xf>
    <xf numFmtId="0" fontId="10" fillId="0" borderId="39" xfId="4" applyFont="1" applyBorder="1" applyAlignment="1">
      <alignment horizontal="center" vertical="center"/>
    </xf>
    <xf numFmtId="0" fontId="10" fillId="0" borderId="72" xfId="4" applyFont="1" applyBorder="1" applyAlignment="1">
      <alignment horizontal="center" vertical="center"/>
    </xf>
    <xf numFmtId="0" fontId="10" fillId="0" borderId="7" xfId="4" applyFont="1" applyBorder="1" applyAlignment="1">
      <alignment horizontal="center" vertical="center"/>
    </xf>
    <xf numFmtId="0" fontId="0" fillId="0" borderId="11" xfId="0" applyFill="1" applyBorder="1"/>
    <xf numFmtId="165" fontId="10" fillId="0" borderId="69" xfId="4" applyNumberFormat="1" applyFont="1" applyFill="1" applyBorder="1" applyAlignment="1">
      <alignment horizontal="center" vertical="center"/>
    </xf>
    <xf numFmtId="165" fontId="10" fillId="0" borderId="70" xfId="4" applyNumberFormat="1" applyFont="1" applyFill="1" applyBorder="1" applyAlignment="1">
      <alignment horizontal="center" vertical="center"/>
    </xf>
    <xf numFmtId="165" fontId="10" fillId="0" borderId="13" xfId="4" applyNumberFormat="1" applyFont="1" applyFill="1" applyBorder="1" applyAlignment="1">
      <alignment horizontal="center" vertical="center"/>
    </xf>
    <xf numFmtId="165" fontId="10" fillId="0" borderId="6" xfId="4" applyNumberFormat="1" applyFont="1" applyFill="1" applyBorder="1" applyAlignment="1">
      <alignment horizontal="center" vertical="center"/>
    </xf>
    <xf numFmtId="165" fontId="10" fillId="0" borderId="14" xfId="4" applyNumberFormat="1" applyFont="1" applyFill="1" applyBorder="1" applyAlignment="1">
      <alignment horizontal="center" vertical="center"/>
    </xf>
    <xf numFmtId="165" fontId="10" fillId="0" borderId="11" xfId="4" applyNumberFormat="1" applyFont="1" applyFill="1" applyBorder="1" applyAlignment="1">
      <alignment horizontal="center" vertical="center"/>
    </xf>
    <xf numFmtId="0" fontId="10" fillId="0" borderId="13" xfId="4" applyFont="1" applyBorder="1" applyAlignment="1">
      <alignment horizontal="center" vertical="center" wrapText="1"/>
    </xf>
    <xf numFmtId="0" fontId="10" fillId="0" borderId="6" xfId="4" applyFont="1" applyBorder="1" applyAlignment="1">
      <alignment horizontal="center" vertical="center" wrapText="1"/>
    </xf>
    <xf numFmtId="49" fontId="10" fillId="0" borderId="14" xfId="12" applyNumberFormat="1" applyFont="1" applyBorder="1" applyAlignment="1">
      <alignment horizontal="center" vertical="center" wrapText="1"/>
    </xf>
    <xf numFmtId="49" fontId="10" fillId="0" borderId="11" xfId="12" applyNumberFormat="1" applyFont="1" applyBorder="1" applyAlignment="1">
      <alignment horizontal="center" vertical="center" wrapText="1"/>
    </xf>
    <xf numFmtId="0" fontId="10" fillId="0" borderId="12" xfId="12" applyFont="1" applyBorder="1" applyAlignment="1">
      <alignment horizontal="center" vertical="center"/>
    </xf>
    <xf numFmtId="0" fontId="115" fillId="0" borderId="0" xfId="12" applyFont="1" applyAlignment="1">
      <alignment horizontal="center"/>
    </xf>
    <xf numFmtId="0" fontId="10" fillId="0" borderId="39" xfId="12" applyFont="1" applyBorder="1" applyAlignment="1">
      <alignment horizontal="center" vertical="center"/>
    </xf>
    <xf numFmtId="0" fontId="10" fillId="0" borderId="72" xfId="12" applyFont="1" applyBorder="1" applyAlignment="1">
      <alignment horizontal="center" vertical="center"/>
    </xf>
    <xf numFmtId="0" fontId="10" fillId="0" borderId="7" xfId="12" applyFont="1" applyBorder="1" applyAlignment="1">
      <alignment horizontal="center" vertical="center"/>
    </xf>
    <xf numFmtId="0" fontId="10" fillId="0" borderId="14" xfId="12" applyFont="1" applyBorder="1" applyAlignment="1">
      <alignment horizontal="center" vertical="center"/>
    </xf>
    <xf numFmtId="0" fontId="10" fillId="0" borderId="11" xfId="12" applyFont="1" applyBorder="1" applyAlignment="1">
      <alignment horizontal="center" vertical="center"/>
    </xf>
    <xf numFmtId="0" fontId="10" fillId="0" borderId="13" xfId="12" applyFont="1" applyBorder="1" applyAlignment="1">
      <alignment horizontal="center" vertical="center"/>
    </xf>
    <xf numFmtId="0" fontId="10" fillId="0" borderId="6" xfId="12" applyFont="1" applyBorder="1" applyAlignment="1">
      <alignment horizontal="center" vertical="center"/>
    </xf>
    <xf numFmtId="0" fontId="10" fillId="0" borderId="11" xfId="13" applyBorder="1"/>
    <xf numFmtId="165" fontId="10" fillId="0" borderId="69" xfId="12" applyNumberFormat="1" applyFont="1" applyBorder="1" applyAlignment="1">
      <alignment horizontal="center" vertical="center"/>
    </xf>
    <xf numFmtId="165" fontId="10" fillId="0" borderId="70" xfId="12" applyNumberFormat="1" applyFont="1" applyBorder="1" applyAlignment="1">
      <alignment horizontal="center" vertical="center"/>
    </xf>
    <xf numFmtId="165" fontId="10" fillId="0" borderId="13" xfId="12" applyNumberFormat="1" applyFont="1" applyBorder="1" applyAlignment="1">
      <alignment horizontal="center" vertical="center"/>
    </xf>
    <xf numFmtId="165" fontId="10" fillId="0" borderId="6" xfId="12" applyNumberFormat="1" applyFont="1" applyBorder="1" applyAlignment="1">
      <alignment horizontal="center" vertical="center"/>
    </xf>
    <xf numFmtId="165" fontId="10" fillId="0" borderId="14" xfId="12" applyNumberFormat="1" applyFont="1" applyBorder="1" applyAlignment="1">
      <alignment horizontal="center" vertical="center"/>
    </xf>
    <xf numFmtId="165" fontId="10" fillId="0" borderId="11" xfId="12" applyNumberFormat="1" applyFont="1" applyBorder="1" applyAlignment="1">
      <alignment horizontal="center" vertical="center"/>
    </xf>
    <xf numFmtId="0" fontId="10" fillId="0" borderId="13" xfId="12" applyFont="1" applyBorder="1" applyAlignment="1">
      <alignment horizontal="center" vertical="center" wrapText="1"/>
    </xf>
    <xf numFmtId="0" fontId="10" fillId="0" borderId="6" xfId="12" applyFont="1" applyBorder="1" applyAlignment="1">
      <alignment horizontal="center" vertical="center" wrapText="1"/>
    </xf>
    <xf numFmtId="0" fontId="10" fillId="0" borderId="14" xfId="12" applyFont="1" applyBorder="1" applyAlignment="1">
      <alignment horizontal="center" vertical="center" wrapText="1"/>
    </xf>
    <xf numFmtId="0" fontId="10" fillId="0" borderId="11" xfId="12" applyFont="1" applyBorder="1" applyAlignment="1">
      <alignment horizontal="center" vertical="center" wrapText="1"/>
    </xf>
    <xf numFmtId="0" fontId="10" fillId="0" borderId="12" xfId="12" applyFont="1" applyBorder="1" applyAlignment="1">
      <alignment horizontal="center" vertical="center" wrapText="1"/>
    </xf>
    <xf numFmtId="0" fontId="5" fillId="0" borderId="0" xfId="12" applyFont="1" applyAlignment="1">
      <alignment horizontal="left"/>
    </xf>
    <xf numFmtId="0" fontId="10" fillId="0" borderId="14" xfId="12" applyFont="1" applyFill="1" applyBorder="1" applyAlignment="1">
      <alignment horizontal="center" vertical="center"/>
    </xf>
    <xf numFmtId="0" fontId="10" fillId="0" borderId="11" xfId="12" applyFont="1" applyFill="1" applyBorder="1" applyAlignment="1">
      <alignment horizontal="center" vertical="center"/>
    </xf>
    <xf numFmtId="0" fontId="10" fillId="0" borderId="13" xfId="12" applyFont="1" applyFill="1" applyBorder="1" applyAlignment="1">
      <alignment horizontal="center" vertical="center"/>
    </xf>
    <xf numFmtId="0" fontId="10" fillId="0" borderId="6" xfId="12" applyFont="1" applyFill="1" applyBorder="1" applyAlignment="1">
      <alignment horizontal="center" vertical="center"/>
    </xf>
    <xf numFmtId="0" fontId="10" fillId="0" borderId="13" xfId="12" applyFill="1" applyBorder="1" applyAlignment="1">
      <alignment horizontal="center" vertical="center"/>
    </xf>
    <xf numFmtId="0" fontId="10" fillId="0" borderId="6" xfId="12" applyFill="1" applyBorder="1" applyAlignment="1">
      <alignment horizontal="center" vertical="center"/>
    </xf>
    <xf numFmtId="0" fontId="18" fillId="0" borderId="0" xfId="13" applyFont="1" applyFill="1" applyAlignment="1">
      <alignment horizontal="center" vertical="top" wrapText="1"/>
    </xf>
    <xf numFmtId="0" fontId="6" fillId="0" borderId="0" xfId="13" applyFont="1" applyFill="1" applyAlignment="1">
      <alignment horizontal="right"/>
    </xf>
    <xf numFmtId="0" fontId="7" fillId="0" borderId="0" xfId="13" applyFont="1" applyFill="1" applyAlignment="1">
      <alignment horizontal="center"/>
    </xf>
    <xf numFmtId="0" fontId="102" fillId="0" borderId="0" xfId="6471" applyFont="1" applyFill="1" applyAlignment="1">
      <alignment horizontal="center"/>
    </xf>
    <xf numFmtId="0" fontId="51" fillId="0" borderId="0" xfId="13" applyFont="1" applyFill="1" applyAlignment="1">
      <alignment horizontal="left"/>
    </xf>
    <xf numFmtId="0" fontId="18" fillId="0" borderId="1" xfId="13" applyFont="1" applyFill="1" applyBorder="1" applyAlignment="1">
      <alignment horizontal="center" vertical="top" wrapText="1"/>
    </xf>
    <xf numFmtId="0" fontId="23" fillId="0" borderId="1" xfId="6471" applyFont="1" applyFill="1" applyBorder="1" applyAlignment="1">
      <alignment horizontal="center" vertical="center" wrapText="1"/>
    </xf>
    <xf numFmtId="0" fontId="21" fillId="0" borderId="1" xfId="6471" applyFont="1" applyFill="1" applyBorder="1" applyAlignment="1">
      <alignment horizontal="center" vertical="center" wrapText="1"/>
    </xf>
    <xf numFmtId="0" fontId="5" fillId="0" borderId="0" xfId="13" applyFont="1" applyFill="1" applyAlignment="1">
      <alignment horizontal="right"/>
    </xf>
    <xf numFmtId="0" fontId="5" fillId="0" borderId="0" xfId="13" applyFont="1" applyFill="1" applyAlignment="1">
      <alignment horizontal="left"/>
    </xf>
  </cellXfs>
  <cellStyles count="7379">
    <cellStyle name="Hyperlink" xfId="1" builtinId="8"/>
    <cellStyle name="Normal" xfId="0" builtinId="0"/>
    <cellStyle name="Normal 10" xfId="14"/>
    <cellStyle name="Normal 11" xfId="15"/>
    <cellStyle name="Normal 11 2" xfId="16"/>
    <cellStyle name="Normal 11 2 2" xfId="17"/>
    <cellStyle name="Normal 11 2 2 2" xfId="18"/>
    <cellStyle name="Normal 11 2 2 2 2" xfId="19"/>
    <cellStyle name="Normal 11 2 3" xfId="20"/>
    <cellStyle name="Normal 12" xfId="21"/>
    <cellStyle name="Normal 12 2" xfId="22"/>
    <cellStyle name="Normal 12 2 2" xfId="23"/>
    <cellStyle name="Normal 13" xfId="24"/>
    <cellStyle name="Normal 14" xfId="25"/>
    <cellStyle name="Normal 15" xfId="26"/>
    <cellStyle name="Normal 16" xfId="27"/>
    <cellStyle name="Normal 17" xfId="13"/>
    <cellStyle name="Normal 17 10" xfId="28"/>
    <cellStyle name="Normal 17 11" xfId="29"/>
    <cellStyle name="Normal 17 12" xfId="30"/>
    <cellStyle name="Normal 17 13" xfId="31"/>
    <cellStyle name="Normal 17 14" xfId="32"/>
    <cellStyle name="Normal 17 15" xfId="33"/>
    <cellStyle name="Normal 17 2" xfId="34"/>
    <cellStyle name="Normal 17 3" xfId="35"/>
    <cellStyle name="Normal 17 4" xfId="36"/>
    <cellStyle name="Normal 17 5" xfId="37"/>
    <cellStyle name="Normal 17 6" xfId="38"/>
    <cellStyle name="Normal 17 7" xfId="39"/>
    <cellStyle name="Normal 17 8" xfId="40"/>
    <cellStyle name="Normal 17 9" xfId="41"/>
    <cellStyle name="Normal 18" xfId="42"/>
    <cellStyle name="Normal 18 2" xfId="43"/>
    <cellStyle name="Normal 19" xfId="44"/>
    <cellStyle name="Normal 2" xfId="2"/>
    <cellStyle name="Normal 2 10" xfId="45"/>
    <cellStyle name="Normal 2 10 2" xfId="46"/>
    <cellStyle name="Normal 2 11" xfId="47"/>
    <cellStyle name="Normal 2 12" xfId="48"/>
    <cellStyle name="Normal 2 13" xfId="49"/>
    <cellStyle name="Normal 2 14" xfId="50"/>
    <cellStyle name="Normal 2 15" xfId="51"/>
    <cellStyle name="Normal 2 16" xfId="52"/>
    <cellStyle name="Normal 2 17" xfId="53"/>
    <cellStyle name="Normal 2 18" xfId="54"/>
    <cellStyle name="Normal 2 19" xfId="55"/>
    <cellStyle name="Normal 2 2" xfId="56"/>
    <cellStyle name="Normal 2 2 10" xfId="57"/>
    <cellStyle name="Normal 2 2 11" xfId="58"/>
    <cellStyle name="Normal 2 2 12" xfId="59"/>
    <cellStyle name="Normal 2 2 13" xfId="60"/>
    <cellStyle name="Normal 2 2 14" xfId="61"/>
    <cellStyle name="Normal 2 2 15" xfId="62"/>
    <cellStyle name="Normal 2 2 16" xfId="63"/>
    <cellStyle name="Normal 2 2 17" xfId="64"/>
    <cellStyle name="Normal 2 2 18" xfId="65"/>
    <cellStyle name="Normal 2 2 18 2" xfId="66"/>
    <cellStyle name="Normal 2 2 19" xfId="67"/>
    <cellStyle name="Normal 2 2 2" xfId="68"/>
    <cellStyle name="Normal 2 2 2 10" xfId="69"/>
    <cellStyle name="Normal 2 2 2 11" xfId="70"/>
    <cellStyle name="Normal 2 2 2 12" xfId="71"/>
    <cellStyle name="Normal 2 2 2 13" xfId="72"/>
    <cellStyle name="Normal 2 2 2 14" xfId="73"/>
    <cellStyle name="Normal 2 2 2 15" xfId="74"/>
    <cellStyle name="Normal 2 2 2 16" xfId="75"/>
    <cellStyle name="Normal 2 2 2 17" xfId="76"/>
    <cellStyle name="Normal 2 2 2 17 2" xfId="77"/>
    <cellStyle name="Normal 2 2 2 18" xfId="78"/>
    <cellStyle name="Normal 2 2 2 19" xfId="79"/>
    <cellStyle name="Normal 2 2 2 2" xfId="80"/>
    <cellStyle name="Normal 2 2 2 2 10" xfId="81"/>
    <cellStyle name="Normal 2 2 2 2 11" xfId="82"/>
    <cellStyle name="Normal 2 2 2 2 12" xfId="83"/>
    <cellStyle name="Normal 2 2 2 2 13" xfId="84"/>
    <cellStyle name="Normal 2 2 2 2 14" xfId="85"/>
    <cellStyle name="Normal 2 2 2 2 15" xfId="86"/>
    <cellStyle name="Normal 2 2 2 2 16" xfId="87"/>
    <cellStyle name="Normal 2 2 2 2 17" xfId="88"/>
    <cellStyle name="Normal 2 2 2 2 17 2" xfId="89"/>
    <cellStyle name="Normal 2 2 2 2 18" xfId="90"/>
    <cellStyle name="Normal 2 2 2 2 19" xfId="91"/>
    <cellStyle name="Normal 2 2 2 2 2" xfId="92"/>
    <cellStyle name="Normal 2 2 2 2 2 10" xfId="93"/>
    <cellStyle name="Normal 2 2 2 2 2 11" xfId="94"/>
    <cellStyle name="Normal 2 2 2 2 2 12" xfId="95"/>
    <cellStyle name="Normal 2 2 2 2 2 13" xfId="96"/>
    <cellStyle name="Normal 2 2 2 2 2 14" xfId="97"/>
    <cellStyle name="Normal 2 2 2 2 2 15" xfId="98"/>
    <cellStyle name="Normal 2 2 2 2 2 15 2" xfId="99"/>
    <cellStyle name="Normal 2 2 2 2 2 16" xfId="100"/>
    <cellStyle name="Normal 2 2 2 2 2 17" xfId="101"/>
    <cellStyle name="Normal 2 2 2 2 2 18" xfId="102"/>
    <cellStyle name="Normal 2 2 2 2 2 19" xfId="103"/>
    <cellStyle name="Normal 2 2 2 2 2 2" xfId="104"/>
    <cellStyle name="Normal 2 2 2 2 2 2 10" xfId="105"/>
    <cellStyle name="Normal 2 2 2 2 2 2 11" xfId="106"/>
    <cellStyle name="Normal 2 2 2 2 2 2 12" xfId="107"/>
    <cellStyle name="Normal 2 2 2 2 2 2 13" xfId="108"/>
    <cellStyle name="Normal 2 2 2 2 2 2 14" xfId="109"/>
    <cellStyle name="Normal 2 2 2 2 2 2 15" xfId="110"/>
    <cellStyle name="Normal 2 2 2 2 2 2 15 2" xfId="111"/>
    <cellStyle name="Normal 2 2 2 2 2 2 16" xfId="112"/>
    <cellStyle name="Normal 2 2 2 2 2 2 17" xfId="113"/>
    <cellStyle name="Normal 2 2 2 2 2 2 18" xfId="114"/>
    <cellStyle name="Normal 2 2 2 2 2 2 19" xfId="115"/>
    <cellStyle name="Normal 2 2 2 2 2 2 2" xfId="116"/>
    <cellStyle name="Normal 2 2 2 2 2 2 2 10" xfId="117"/>
    <cellStyle name="Normal 2 2 2 2 2 2 2 11" xfId="118"/>
    <cellStyle name="Normal 2 2 2 2 2 2 2 12" xfId="119"/>
    <cellStyle name="Normal 2 2 2 2 2 2 2 13" xfId="120"/>
    <cellStyle name="Normal 2 2 2 2 2 2 2 14" xfId="121"/>
    <cellStyle name="Normal 2 2 2 2 2 2 2 15" xfId="122"/>
    <cellStyle name="Normal 2 2 2 2 2 2 2 15 2" xfId="123"/>
    <cellStyle name="Normal 2 2 2 2 2 2 2 16" xfId="124"/>
    <cellStyle name="Normal 2 2 2 2 2 2 2 17" xfId="125"/>
    <cellStyle name="Normal 2 2 2 2 2 2 2 18" xfId="126"/>
    <cellStyle name="Normal 2 2 2 2 2 2 2 19" xfId="127"/>
    <cellStyle name="Normal 2 2 2 2 2 2 2 2" xfId="128"/>
    <cellStyle name="Normal 2 2 2 2 2 2 2 20" xfId="129"/>
    <cellStyle name="Normal 2 2 2 2 2 2 2 21" xfId="130"/>
    <cellStyle name="Normal 2 2 2 2 2 2 2 22" xfId="131"/>
    <cellStyle name="Normal 2 2 2 2 2 2 2 23" xfId="132"/>
    <cellStyle name="Normal 2 2 2 2 2 2 2 23 10" xfId="133"/>
    <cellStyle name="Normal 2 2 2 2 2 2 2 23 11" xfId="134"/>
    <cellStyle name="Normal 2 2 2 2 2 2 2 23 12" xfId="135"/>
    <cellStyle name="Normal 2 2 2 2 2 2 2 23 13" xfId="136"/>
    <cellStyle name="Normal 2 2 2 2 2 2 2 23 14" xfId="137"/>
    <cellStyle name="Normal 2 2 2 2 2 2 2 23 15" xfId="138"/>
    <cellStyle name="Normal 2 2 2 2 2 2 2 23 2" xfId="139"/>
    <cellStyle name="Normal 2 2 2 2 2 2 2 23 2 10" xfId="140"/>
    <cellStyle name="Normal 2 2 2 2 2 2 2 23 2 11" xfId="141"/>
    <cellStyle name="Normal 2 2 2 2 2 2 2 23 2 12" xfId="142"/>
    <cellStyle name="Normal 2 2 2 2 2 2 2 23 2 13" xfId="143"/>
    <cellStyle name="Normal 2 2 2 2 2 2 2 23 2 14" xfId="144"/>
    <cellStyle name="Normal 2 2 2 2 2 2 2 23 2 2" xfId="145"/>
    <cellStyle name="Normal 2 2 2 2 2 2 2 23 2 2 10" xfId="146"/>
    <cellStyle name="Normal 2 2 2 2 2 2 2 23 2 2 11" xfId="147"/>
    <cellStyle name="Normal 2 2 2 2 2 2 2 23 2 2 12" xfId="148"/>
    <cellStyle name="Normal 2 2 2 2 2 2 2 23 2 2 13" xfId="149"/>
    <cellStyle name="Normal 2 2 2 2 2 2 2 23 2 2 14" xfId="150"/>
    <cellStyle name="Normal 2 2 2 2 2 2 2 23 2 2 2" xfId="151"/>
    <cellStyle name="Normal 2 2 2 2 2 2 2 23 2 2 2 10" xfId="152"/>
    <cellStyle name="Normal 2 2 2 2 2 2 2 23 2 2 2 11" xfId="153"/>
    <cellStyle name="Normal 2 2 2 2 2 2 2 23 2 2 2 12" xfId="154"/>
    <cellStyle name="Normal 2 2 2 2 2 2 2 23 2 2 2 13" xfId="155"/>
    <cellStyle name="Normal 2 2 2 2 2 2 2 23 2 2 2 2" xfId="156"/>
    <cellStyle name="Normal 2 2 2 2 2 2 2 23 2 2 2 2 10" xfId="157"/>
    <cellStyle name="Normal 2 2 2 2 2 2 2 23 2 2 2 2 11" xfId="158"/>
    <cellStyle name="Normal 2 2 2 2 2 2 2 23 2 2 2 2 12" xfId="159"/>
    <cellStyle name="Normal 2 2 2 2 2 2 2 23 2 2 2 2 13" xfId="160"/>
    <cellStyle name="Normal 2 2 2 2 2 2 2 23 2 2 2 2 2" xfId="161"/>
    <cellStyle name="Normal 2 2 2 2 2 2 2 23 2 2 2 2 2 10" xfId="162"/>
    <cellStyle name="Normal 2 2 2 2 2 2 2 23 2 2 2 2 2 11" xfId="163"/>
    <cellStyle name="Normal 2 2 2 2 2 2 2 23 2 2 2 2 2 12" xfId="164"/>
    <cellStyle name="Normal 2 2 2 2 2 2 2 23 2 2 2 2 2 2" xfId="165"/>
    <cellStyle name="Normal 2 2 2 2 2 2 2 23 2 2 2 2 2 2 10" xfId="166"/>
    <cellStyle name="Normal 2 2 2 2 2 2 2 23 2 2 2 2 2 2 11" xfId="167"/>
    <cellStyle name="Normal 2 2 2 2 2 2 2 23 2 2 2 2 2 2 12" xfId="168"/>
    <cellStyle name="Normal 2 2 2 2 2 2 2 23 2 2 2 2 2 2 2" xfId="169"/>
    <cellStyle name="Normal 2 2 2 2 2 2 2 23 2 2 2 2 2 2 2 10" xfId="170"/>
    <cellStyle name="Normal 2 2 2 2 2 2 2 23 2 2 2 2 2 2 2 11" xfId="171"/>
    <cellStyle name="Normal 2 2 2 2 2 2 2 23 2 2 2 2 2 2 2 2" xfId="172"/>
    <cellStyle name="Normal 2 2 2 2 2 2 2 23 2 2 2 2 2 2 2 2 10" xfId="173"/>
    <cellStyle name="Normal 2 2 2 2 2 2 2 23 2 2 2 2 2 2 2 2 11" xfId="174"/>
    <cellStyle name="Normal 2 2 2 2 2 2 2 23 2 2 2 2 2 2 2 2 2" xfId="175"/>
    <cellStyle name="Normal 2 2 2 2 2 2 2 23 2 2 2 2 2 2 2 2 2 2" xfId="176"/>
    <cellStyle name="Normal 2 2 2 2 2 2 2 23 2 2 2 2 2 2 2 2 3" xfId="177"/>
    <cellStyle name="Normal 2 2 2 2 2 2 2 23 2 2 2 2 2 2 2 2 4" xfId="178"/>
    <cellStyle name="Normal 2 2 2 2 2 2 2 23 2 2 2 2 2 2 2 2 5" xfId="179"/>
    <cellStyle name="Normal 2 2 2 2 2 2 2 23 2 2 2 2 2 2 2 2 6" xfId="180"/>
    <cellStyle name="Normal 2 2 2 2 2 2 2 23 2 2 2 2 2 2 2 2 7" xfId="181"/>
    <cellStyle name="Normal 2 2 2 2 2 2 2 23 2 2 2 2 2 2 2 2 8" xfId="182"/>
    <cellStyle name="Normal 2 2 2 2 2 2 2 23 2 2 2 2 2 2 2 2 9" xfId="183"/>
    <cellStyle name="Normal 2 2 2 2 2 2 2 23 2 2 2 2 2 2 2 3" xfId="184"/>
    <cellStyle name="Normal 2 2 2 2 2 2 2 23 2 2 2 2 2 2 2 3 2" xfId="185"/>
    <cellStyle name="Normal 2 2 2 2 2 2 2 23 2 2 2 2 2 2 2 4" xfId="186"/>
    <cellStyle name="Normal 2 2 2 2 2 2 2 23 2 2 2 2 2 2 2 5" xfId="187"/>
    <cellStyle name="Normal 2 2 2 2 2 2 2 23 2 2 2 2 2 2 2 6" xfId="188"/>
    <cellStyle name="Normal 2 2 2 2 2 2 2 23 2 2 2 2 2 2 2 7" xfId="189"/>
    <cellStyle name="Normal 2 2 2 2 2 2 2 23 2 2 2 2 2 2 2 8" xfId="190"/>
    <cellStyle name="Normal 2 2 2 2 2 2 2 23 2 2 2 2 2 2 2 9" xfId="191"/>
    <cellStyle name="Normal 2 2 2 2 2 2 2 23 2 2 2 2 2 2 3" xfId="192"/>
    <cellStyle name="Normal 2 2 2 2 2 2 2 23 2 2 2 2 2 2 3 2" xfId="193"/>
    <cellStyle name="Normal 2 2 2 2 2 2 2 23 2 2 2 2 2 2 4" xfId="194"/>
    <cellStyle name="Normal 2 2 2 2 2 2 2 23 2 2 2 2 2 2 5" xfId="195"/>
    <cellStyle name="Normal 2 2 2 2 2 2 2 23 2 2 2 2 2 2 6" xfId="196"/>
    <cellStyle name="Normal 2 2 2 2 2 2 2 23 2 2 2 2 2 2 7" xfId="197"/>
    <cellStyle name="Normal 2 2 2 2 2 2 2 23 2 2 2 2 2 2 8" xfId="198"/>
    <cellStyle name="Normal 2 2 2 2 2 2 2 23 2 2 2 2 2 2 9" xfId="199"/>
    <cellStyle name="Normal 2 2 2 2 2 2 2 23 2 2 2 2 2 3" xfId="200"/>
    <cellStyle name="Normal 2 2 2 2 2 2 2 23 2 2 2 2 2 3 10" xfId="201"/>
    <cellStyle name="Normal 2 2 2 2 2 2 2 23 2 2 2 2 2 3 11" xfId="202"/>
    <cellStyle name="Normal 2 2 2 2 2 2 2 23 2 2 2 2 2 3 2" xfId="203"/>
    <cellStyle name="Normal 2 2 2 2 2 2 2 23 2 2 2 2 2 3 2 2" xfId="204"/>
    <cellStyle name="Normal 2 2 2 2 2 2 2 23 2 2 2 2 2 3 3" xfId="205"/>
    <cellStyle name="Normal 2 2 2 2 2 2 2 23 2 2 2 2 2 3 4" xfId="206"/>
    <cellStyle name="Normal 2 2 2 2 2 2 2 23 2 2 2 2 2 3 5" xfId="207"/>
    <cellStyle name="Normal 2 2 2 2 2 2 2 23 2 2 2 2 2 3 6" xfId="208"/>
    <cellStyle name="Normal 2 2 2 2 2 2 2 23 2 2 2 2 2 3 7" xfId="209"/>
    <cellStyle name="Normal 2 2 2 2 2 2 2 23 2 2 2 2 2 3 8" xfId="210"/>
    <cellStyle name="Normal 2 2 2 2 2 2 2 23 2 2 2 2 2 3 9" xfId="211"/>
    <cellStyle name="Normal 2 2 2 2 2 2 2 23 2 2 2 2 2 4" xfId="212"/>
    <cellStyle name="Normal 2 2 2 2 2 2 2 23 2 2 2 2 2 4 2" xfId="213"/>
    <cellStyle name="Normal 2 2 2 2 2 2 2 23 2 2 2 2 2 5" xfId="214"/>
    <cellStyle name="Normal 2 2 2 2 2 2 2 23 2 2 2 2 2 6" xfId="215"/>
    <cellStyle name="Normal 2 2 2 2 2 2 2 23 2 2 2 2 2 7" xfId="216"/>
    <cellStyle name="Normal 2 2 2 2 2 2 2 23 2 2 2 2 2 8" xfId="217"/>
    <cellStyle name="Normal 2 2 2 2 2 2 2 23 2 2 2 2 2 9" xfId="218"/>
    <cellStyle name="Normal 2 2 2 2 2 2 2 23 2 2 2 2 3" xfId="219"/>
    <cellStyle name="Normal 2 2 2 2 2 2 2 23 2 2 2 2 3 10" xfId="220"/>
    <cellStyle name="Normal 2 2 2 2 2 2 2 23 2 2 2 2 3 11" xfId="221"/>
    <cellStyle name="Normal 2 2 2 2 2 2 2 23 2 2 2 2 3 2" xfId="222"/>
    <cellStyle name="Normal 2 2 2 2 2 2 2 23 2 2 2 2 3 2 10" xfId="223"/>
    <cellStyle name="Normal 2 2 2 2 2 2 2 23 2 2 2 2 3 2 11" xfId="224"/>
    <cellStyle name="Normal 2 2 2 2 2 2 2 23 2 2 2 2 3 2 2" xfId="225"/>
    <cellStyle name="Normal 2 2 2 2 2 2 2 23 2 2 2 2 3 2 2 2" xfId="226"/>
    <cellStyle name="Normal 2 2 2 2 2 2 2 23 2 2 2 2 3 2 3" xfId="227"/>
    <cellStyle name="Normal 2 2 2 2 2 2 2 23 2 2 2 2 3 2 4" xfId="228"/>
    <cellStyle name="Normal 2 2 2 2 2 2 2 23 2 2 2 2 3 2 5" xfId="229"/>
    <cellStyle name="Normal 2 2 2 2 2 2 2 23 2 2 2 2 3 2 6" xfId="230"/>
    <cellStyle name="Normal 2 2 2 2 2 2 2 23 2 2 2 2 3 2 7" xfId="231"/>
    <cellStyle name="Normal 2 2 2 2 2 2 2 23 2 2 2 2 3 2 8" xfId="232"/>
    <cellStyle name="Normal 2 2 2 2 2 2 2 23 2 2 2 2 3 2 9" xfId="233"/>
    <cellStyle name="Normal 2 2 2 2 2 2 2 23 2 2 2 2 3 3" xfId="234"/>
    <cellStyle name="Normal 2 2 2 2 2 2 2 23 2 2 2 2 3 3 2" xfId="235"/>
    <cellStyle name="Normal 2 2 2 2 2 2 2 23 2 2 2 2 3 4" xfId="236"/>
    <cellStyle name="Normal 2 2 2 2 2 2 2 23 2 2 2 2 3 5" xfId="237"/>
    <cellStyle name="Normal 2 2 2 2 2 2 2 23 2 2 2 2 3 6" xfId="238"/>
    <cellStyle name="Normal 2 2 2 2 2 2 2 23 2 2 2 2 3 7" xfId="239"/>
    <cellStyle name="Normal 2 2 2 2 2 2 2 23 2 2 2 2 3 8" xfId="240"/>
    <cellStyle name="Normal 2 2 2 2 2 2 2 23 2 2 2 2 3 9" xfId="241"/>
    <cellStyle name="Normal 2 2 2 2 2 2 2 23 2 2 2 2 4" xfId="242"/>
    <cellStyle name="Normal 2 2 2 2 2 2 2 23 2 2 2 2 4 2" xfId="243"/>
    <cellStyle name="Normal 2 2 2 2 2 2 2 23 2 2 2 2 5" xfId="244"/>
    <cellStyle name="Normal 2 2 2 2 2 2 2 23 2 2 2 2 6" xfId="245"/>
    <cellStyle name="Normal 2 2 2 2 2 2 2 23 2 2 2 2 7" xfId="246"/>
    <cellStyle name="Normal 2 2 2 2 2 2 2 23 2 2 2 2 8" xfId="247"/>
    <cellStyle name="Normal 2 2 2 2 2 2 2 23 2 2 2 2 9" xfId="248"/>
    <cellStyle name="Normal 2 2 2 2 2 2 2 23 2 2 2 3" xfId="249"/>
    <cellStyle name="Normal 2 2 2 2 2 2 2 23 2 2 2 3 10" xfId="250"/>
    <cellStyle name="Normal 2 2 2 2 2 2 2 23 2 2 2 3 11" xfId="251"/>
    <cellStyle name="Normal 2 2 2 2 2 2 2 23 2 2 2 3 12" xfId="252"/>
    <cellStyle name="Normal 2 2 2 2 2 2 2 23 2 2 2 3 2" xfId="253"/>
    <cellStyle name="Normal 2 2 2 2 2 2 2 23 2 2 2 3 2 10" xfId="254"/>
    <cellStyle name="Normal 2 2 2 2 2 2 2 23 2 2 2 3 2 11" xfId="255"/>
    <cellStyle name="Normal 2 2 2 2 2 2 2 23 2 2 2 3 2 2" xfId="256"/>
    <cellStyle name="Normal 2 2 2 2 2 2 2 23 2 2 2 3 2 2 10" xfId="257"/>
    <cellStyle name="Normal 2 2 2 2 2 2 2 23 2 2 2 3 2 2 11" xfId="258"/>
    <cellStyle name="Normal 2 2 2 2 2 2 2 23 2 2 2 3 2 2 2" xfId="259"/>
    <cellStyle name="Normal 2 2 2 2 2 2 2 23 2 2 2 3 2 2 2 2" xfId="260"/>
    <cellStyle name="Normal 2 2 2 2 2 2 2 23 2 2 2 3 2 2 3" xfId="261"/>
    <cellStyle name="Normal 2 2 2 2 2 2 2 23 2 2 2 3 2 2 4" xfId="262"/>
    <cellStyle name="Normal 2 2 2 2 2 2 2 23 2 2 2 3 2 2 5" xfId="263"/>
    <cellStyle name="Normal 2 2 2 2 2 2 2 23 2 2 2 3 2 2 6" xfId="264"/>
    <cellStyle name="Normal 2 2 2 2 2 2 2 23 2 2 2 3 2 2 7" xfId="265"/>
    <cellStyle name="Normal 2 2 2 2 2 2 2 23 2 2 2 3 2 2 8" xfId="266"/>
    <cellStyle name="Normal 2 2 2 2 2 2 2 23 2 2 2 3 2 2 9" xfId="267"/>
    <cellStyle name="Normal 2 2 2 2 2 2 2 23 2 2 2 3 2 3" xfId="268"/>
    <cellStyle name="Normal 2 2 2 2 2 2 2 23 2 2 2 3 2 3 2" xfId="269"/>
    <cellStyle name="Normal 2 2 2 2 2 2 2 23 2 2 2 3 2 4" xfId="270"/>
    <cellStyle name="Normal 2 2 2 2 2 2 2 23 2 2 2 3 2 5" xfId="271"/>
    <cellStyle name="Normal 2 2 2 2 2 2 2 23 2 2 2 3 2 6" xfId="272"/>
    <cellStyle name="Normal 2 2 2 2 2 2 2 23 2 2 2 3 2 7" xfId="273"/>
    <cellStyle name="Normal 2 2 2 2 2 2 2 23 2 2 2 3 2 8" xfId="274"/>
    <cellStyle name="Normal 2 2 2 2 2 2 2 23 2 2 2 3 2 9" xfId="275"/>
    <cellStyle name="Normal 2 2 2 2 2 2 2 23 2 2 2 3 3" xfId="276"/>
    <cellStyle name="Normal 2 2 2 2 2 2 2 23 2 2 2 3 3 2" xfId="277"/>
    <cellStyle name="Normal 2 2 2 2 2 2 2 23 2 2 2 3 4" xfId="278"/>
    <cellStyle name="Normal 2 2 2 2 2 2 2 23 2 2 2 3 5" xfId="279"/>
    <cellStyle name="Normal 2 2 2 2 2 2 2 23 2 2 2 3 6" xfId="280"/>
    <cellStyle name="Normal 2 2 2 2 2 2 2 23 2 2 2 3 7" xfId="281"/>
    <cellStyle name="Normal 2 2 2 2 2 2 2 23 2 2 2 3 8" xfId="282"/>
    <cellStyle name="Normal 2 2 2 2 2 2 2 23 2 2 2 3 9" xfId="283"/>
    <cellStyle name="Normal 2 2 2 2 2 2 2 23 2 2 2 4" xfId="284"/>
    <cellStyle name="Normal 2 2 2 2 2 2 2 23 2 2 2 4 10" xfId="285"/>
    <cellStyle name="Normal 2 2 2 2 2 2 2 23 2 2 2 4 11" xfId="286"/>
    <cellStyle name="Normal 2 2 2 2 2 2 2 23 2 2 2 4 2" xfId="287"/>
    <cellStyle name="Normal 2 2 2 2 2 2 2 23 2 2 2 4 2 2" xfId="288"/>
    <cellStyle name="Normal 2 2 2 2 2 2 2 23 2 2 2 4 3" xfId="289"/>
    <cellStyle name="Normal 2 2 2 2 2 2 2 23 2 2 2 4 4" xfId="290"/>
    <cellStyle name="Normal 2 2 2 2 2 2 2 23 2 2 2 4 5" xfId="291"/>
    <cellStyle name="Normal 2 2 2 2 2 2 2 23 2 2 2 4 6" xfId="292"/>
    <cellStyle name="Normal 2 2 2 2 2 2 2 23 2 2 2 4 7" xfId="293"/>
    <cellStyle name="Normal 2 2 2 2 2 2 2 23 2 2 2 4 8" xfId="294"/>
    <cellStyle name="Normal 2 2 2 2 2 2 2 23 2 2 2 4 9" xfId="295"/>
    <cellStyle name="Normal 2 2 2 2 2 2 2 23 2 2 2 5" xfId="296"/>
    <cellStyle name="Normal 2 2 2 2 2 2 2 23 2 2 2 5 2" xfId="297"/>
    <cellStyle name="Normal 2 2 2 2 2 2 2 23 2 2 2 6" xfId="298"/>
    <cellStyle name="Normal 2 2 2 2 2 2 2 23 2 2 2 7" xfId="299"/>
    <cellStyle name="Normal 2 2 2 2 2 2 2 23 2 2 2 8" xfId="300"/>
    <cellStyle name="Normal 2 2 2 2 2 2 2 23 2 2 2 9" xfId="301"/>
    <cellStyle name="Normal 2 2 2 2 2 2 2 23 2 2 3" xfId="302"/>
    <cellStyle name="Normal 2 2 2 2 2 2 2 23 2 2 3 10" xfId="303"/>
    <cellStyle name="Normal 2 2 2 2 2 2 2 23 2 2 3 11" xfId="304"/>
    <cellStyle name="Normal 2 2 2 2 2 2 2 23 2 2 3 12" xfId="305"/>
    <cellStyle name="Normal 2 2 2 2 2 2 2 23 2 2 3 2" xfId="306"/>
    <cellStyle name="Normal 2 2 2 2 2 2 2 23 2 2 3 2 10" xfId="307"/>
    <cellStyle name="Normal 2 2 2 2 2 2 2 23 2 2 3 2 11" xfId="308"/>
    <cellStyle name="Normal 2 2 2 2 2 2 2 23 2 2 3 2 12" xfId="309"/>
    <cellStyle name="Normal 2 2 2 2 2 2 2 23 2 2 3 2 2" xfId="310"/>
    <cellStyle name="Normal 2 2 2 2 2 2 2 23 2 2 3 2 2 10" xfId="311"/>
    <cellStyle name="Normal 2 2 2 2 2 2 2 23 2 2 3 2 2 11" xfId="312"/>
    <cellStyle name="Normal 2 2 2 2 2 2 2 23 2 2 3 2 2 2" xfId="313"/>
    <cellStyle name="Normal 2 2 2 2 2 2 2 23 2 2 3 2 2 2 10" xfId="314"/>
    <cellStyle name="Normal 2 2 2 2 2 2 2 23 2 2 3 2 2 2 11" xfId="315"/>
    <cellStyle name="Normal 2 2 2 2 2 2 2 23 2 2 3 2 2 2 2" xfId="316"/>
    <cellStyle name="Normal 2 2 2 2 2 2 2 23 2 2 3 2 2 2 2 2" xfId="317"/>
    <cellStyle name="Normal 2 2 2 2 2 2 2 23 2 2 3 2 2 2 3" xfId="318"/>
    <cellStyle name="Normal 2 2 2 2 2 2 2 23 2 2 3 2 2 2 4" xfId="319"/>
    <cellStyle name="Normal 2 2 2 2 2 2 2 23 2 2 3 2 2 2 5" xfId="320"/>
    <cellStyle name="Normal 2 2 2 2 2 2 2 23 2 2 3 2 2 2 6" xfId="321"/>
    <cellStyle name="Normal 2 2 2 2 2 2 2 23 2 2 3 2 2 2 7" xfId="322"/>
    <cellStyle name="Normal 2 2 2 2 2 2 2 23 2 2 3 2 2 2 8" xfId="323"/>
    <cellStyle name="Normal 2 2 2 2 2 2 2 23 2 2 3 2 2 2 9" xfId="324"/>
    <cellStyle name="Normal 2 2 2 2 2 2 2 23 2 2 3 2 2 3" xfId="325"/>
    <cellStyle name="Normal 2 2 2 2 2 2 2 23 2 2 3 2 2 3 2" xfId="326"/>
    <cellStyle name="Normal 2 2 2 2 2 2 2 23 2 2 3 2 2 4" xfId="327"/>
    <cellStyle name="Normal 2 2 2 2 2 2 2 23 2 2 3 2 2 5" xfId="328"/>
    <cellStyle name="Normal 2 2 2 2 2 2 2 23 2 2 3 2 2 6" xfId="329"/>
    <cellStyle name="Normal 2 2 2 2 2 2 2 23 2 2 3 2 2 7" xfId="330"/>
    <cellStyle name="Normal 2 2 2 2 2 2 2 23 2 2 3 2 2 8" xfId="331"/>
    <cellStyle name="Normal 2 2 2 2 2 2 2 23 2 2 3 2 2 9" xfId="332"/>
    <cellStyle name="Normal 2 2 2 2 2 2 2 23 2 2 3 2 3" xfId="333"/>
    <cellStyle name="Normal 2 2 2 2 2 2 2 23 2 2 3 2 3 2" xfId="334"/>
    <cellStyle name="Normal 2 2 2 2 2 2 2 23 2 2 3 2 4" xfId="335"/>
    <cellStyle name="Normal 2 2 2 2 2 2 2 23 2 2 3 2 5" xfId="336"/>
    <cellStyle name="Normal 2 2 2 2 2 2 2 23 2 2 3 2 6" xfId="337"/>
    <cellStyle name="Normal 2 2 2 2 2 2 2 23 2 2 3 2 7" xfId="338"/>
    <cellStyle name="Normal 2 2 2 2 2 2 2 23 2 2 3 2 8" xfId="339"/>
    <cellStyle name="Normal 2 2 2 2 2 2 2 23 2 2 3 2 9" xfId="340"/>
    <cellStyle name="Normal 2 2 2 2 2 2 2 23 2 2 3 3" xfId="341"/>
    <cellStyle name="Normal 2 2 2 2 2 2 2 23 2 2 3 3 10" xfId="342"/>
    <cellStyle name="Normal 2 2 2 2 2 2 2 23 2 2 3 3 11" xfId="343"/>
    <cellStyle name="Normal 2 2 2 2 2 2 2 23 2 2 3 3 2" xfId="344"/>
    <cellStyle name="Normal 2 2 2 2 2 2 2 23 2 2 3 3 2 2" xfId="345"/>
    <cellStyle name="Normal 2 2 2 2 2 2 2 23 2 2 3 3 3" xfId="346"/>
    <cellStyle name="Normal 2 2 2 2 2 2 2 23 2 2 3 3 4" xfId="347"/>
    <cellStyle name="Normal 2 2 2 2 2 2 2 23 2 2 3 3 5" xfId="348"/>
    <cellStyle name="Normal 2 2 2 2 2 2 2 23 2 2 3 3 6" xfId="349"/>
    <cellStyle name="Normal 2 2 2 2 2 2 2 23 2 2 3 3 7" xfId="350"/>
    <cellStyle name="Normal 2 2 2 2 2 2 2 23 2 2 3 3 8" xfId="351"/>
    <cellStyle name="Normal 2 2 2 2 2 2 2 23 2 2 3 3 9" xfId="352"/>
    <cellStyle name="Normal 2 2 2 2 2 2 2 23 2 2 3 4" xfId="353"/>
    <cellStyle name="Normal 2 2 2 2 2 2 2 23 2 2 3 4 2" xfId="354"/>
    <cellStyle name="Normal 2 2 2 2 2 2 2 23 2 2 3 5" xfId="355"/>
    <cellStyle name="Normal 2 2 2 2 2 2 2 23 2 2 3 6" xfId="356"/>
    <cellStyle name="Normal 2 2 2 2 2 2 2 23 2 2 3 7" xfId="357"/>
    <cellStyle name="Normal 2 2 2 2 2 2 2 23 2 2 3 8" xfId="358"/>
    <cellStyle name="Normal 2 2 2 2 2 2 2 23 2 2 3 9" xfId="359"/>
    <cellStyle name="Normal 2 2 2 2 2 2 2 23 2 2 4" xfId="360"/>
    <cellStyle name="Normal 2 2 2 2 2 2 2 23 2 2 4 10" xfId="361"/>
    <cellStyle name="Normal 2 2 2 2 2 2 2 23 2 2 4 11" xfId="362"/>
    <cellStyle name="Normal 2 2 2 2 2 2 2 23 2 2 4 2" xfId="363"/>
    <cellStyle name="Normal 2 2 2 2 2 2 2 23 2 2 4 2 10" xfId="364"/>
    <cellStyle name="Normal 2 2 2 2 2 2 2 23 2 2 4 2 11" xfId="365"/>
    <cellStyle name="Normal 2 2 2 2 2 2 2 23 2 2 4 2 2" xfId="366"/>
    <cellStyle name="Normal 2 2 2 2 2 2 2 23 2 2 4 2 2 2" xfId="367"/>
    <cellStyle name="Normal 2 2 2 2 2 2 2 23 2 2 4 2 3" xfId="368"/>
    <cellStyle name="Normal 2 2 2 2 2 2 2 23 2 2 4 2 4" xfId="369"/>
    <cellStyle name="Normal 2 2 2 2 2 2 2 23 2 2 4 2 5" xfId="370"/>
    <cellStyle name="Normal 2 2 2 2 2 2 2 23 2 2 4 2 6" xfId="371"/>
    <cellStyle name="Normal 2 2 2 2 2 2 2 23 2 2 4 2 7" xfId="372"/>
    <cellStyle name="Normal 2 2 2 2 2 2 2 23 2 2 4 2 8" xfId="373"/>
    <cellStyle name="Normal 2 2 2 2 2 2 2 23 2 2 4 2 9" xfId="374"/>
    <cellStyle name="Normal 2 2 2 2 2 2 2 23 2 2 4 3" xfId="375"/>
    <cellStyle name="Normal 2 2 2 2 2 2 2 23 2 2 4 3 2" xfId="376"/>
    <cellStyle name="Normal 2 2 2 2 2 2 2 23 2 2 4 4" xfId="377"/>
    <cellStyle name="Normal 2 2 2 2 2 2 2 23 2 2 4 5" xfId="378"/>
    <cellStyle name="Normal 2 2 2 2 2 2 2 23 2 2 4 6" xfId="379"/>
    <cellStyle name="Normal 2 2 2 2 2 2 2 23 2 2 4 7" xfId="380"/>
    <cellStyle name="Normal 2 2 2 2 2 2 2 23 2 2 4 8" xfId="381"/>
    <cellStyle name="Normal 2 2 2 2 2 2 2 23 2 2 4 9" xfId="382"/>
    <cellStyle name="Normal 2 2 2 2 2 2 2 23 2 2 5" xfId="383"/>
    <cellStyle name="Normal 2 2 2 2 2 2 2 23 2 2 5 2" xfId="384"/>
    <cellStyle name="Normal 2 2 2 2 2 2 2 23 2 2 6" xfId="385"/>
    <cellStyle name="Normal 2 2 2 2 2 2 2 23 2 2 7" xfId="386"/>
    <cellStyle name="Normal 2 2 2 2 2 2 2 23 2 2 8" xfId="387"/>
    <cellStyle name="Normal 2 2 2 2 2 2 2 23 2 2 9" xfId="388"/>
    <cellStyle name="Normal 2 2 2 2 2 2 2 23 2 3" xfId="389"/>
    <cellStyle name="Normal 2 2 2 2 2 2 2 23 2 3 10" xfId="390"/>
    <cellStyle name="Normal 2 2 2 2 2 2 2 23 2 3 11" xfId="391"/>
    <cellStyle name="Normal 2 2 2 2 2 2 2 23 2 3 12" xfId="392"/>
    <cellStyle name="Normal 2 2 2 2 2 2 2 23 2 3 13" xfId="393"/>
    <cellStyle name="Normal 2 2 2 2 2 2 2 23 2 3 2" xfId="394"/>
    <cellStyle name="Normal 2 2 2 2 2 2 2 23 2 3 2 10" xfId="395"/>
    <cellStyle name="Normal 2 2 2 2 2 2 2 23 2 3 2 11" xfId="396"/>
    <cellStyle name="Normal 2 2 2 2 2 2 2 23 2 3 2 12" xfId="397"/>
    <cellStyle name="Normal 2 2 2 2 2 2 2 23 2 3 2 2" xfId="398"/>
    <cellStyle name="Normal 2 2 2 2 2 2 2 23 2 3 2 2 10" xfId="399"/>
    <cellStyle name="Normal 2 2 2 2 2 2 2 23 2 3 2 2 11" xfId="400"/>
    <cellStyle name="Normal 2 2 2 2 2 2 2 23 2 3 2 2 12" xfId="401"/>
    <cellStyle name="Normal 2 2 2 2 2 2 2 23 2 3 2 2 2" xfId="402"/>
    <cellStyle name="Normal 2 2 2 2 2 2 2 23 2 3 2 2 2 10" xfId="403"/>
    <cellStyle name="Normal 2 2 2 2 2 2 2 23 2 3 2 2 2 11" xfId="404"/>
    <cellStyle name="Normal 2 2 2 2 2 2 2 23 2 3 2 2 2 2" xfId="405"/>
    <cellStyle name="Normal 2 2 2 2 2 2 2 23 2 3 2 2 2 2 10" xfId="406"/>
    <cellStyle name="Normal 2 2 2 2 2 2 2 23 2 3 2 2 2 2 11" xfId="407"/>
    <cellStyle name="Normal 2 2 2 2 2 2 2 23 2 3 2 2 2 2 2" xfId="408"/>
    <cellStyle name="Normal 2 2 2 2 2 2 2 23 2 3 2 2 2 2 2 2" xfId="409"/>
    <cellStyle name="Normal 2 2 2 2 2 2 2 23 2 3 2 2 2 2 3" xfId="410"/>
    <cellStyle name="Normal 2 2 2 2 2 2 2 23 2 3 2 2 2 2 4" xfId="411"/>
    <cellStyle name="Normal 2 2 2 2 2 2 2 23 2 3 2 2 2 2 5" xfId="412"/>
    <cellStyle name="Normal 2 2 2 2 2 2 2 23 2 3 2 2 2 2 6" xfId="413"/>
    <cellStyle name="Normal 2 2 2 2 2 2 2 23 2 3 2 2 2 2 7" xfId="414"/>
    <cellStyle name="Normal 2 2 2 2 2 2 2 23 2 3 2 2 2 2 8" xfId="415"/>
    <cellStyle name="Normal 2 2 2 2 2 2 2 23 2 3 2 2 2 2 9" xfId="416"/>
    <cellStyle name="Normal 2 2 2 2 2 2 2 23 2 3 2 2 2 3" xfId="417"/>
    <cellStyle name="Normal 2 2 2 2 2 2 2 23 2 3 2 2 2 3 2" xfId="418"/>
    <cellStyle name="Normal 2 2 2 2 2 2 2 23 2 3 2 2 2 4" xfId="419"/>
    <cellStyle name="Normal 2 2 2 2 2 2 2 23 2 3 2 2 2 5" xfId="420"/>
    <cellStyle name="Normal 2 2 2 2 2 2 2 23 2 3 2 2 2 6" xfId="421"/>
    <cellStyle name="Normal 2 2 2 2 2 2 2 23 2 3 2 2 2 7" xfId="422"/>
    <cellStyle name="Normal 2 2 2 2 2 2 2 23 2 3 2 2 2 8" xfId="423"/>
    <cellStyle name="Normal 2 2 2 2 2 2 2 23 2 3 2 2 2 9" xfId="424"/>
    <cellStyle name="Normal 2 2 2 2 2 2 2 23 2 3 2 2 3" xfId="425"/>
    <cellStyle name="Normal 2 2 2 2 2 2 2 23 2 3 2 2 3 2" xfId="426"/>
    <cellStyle name="Normal 2 2 2 2 2 2 2 23 2 3 2 2 4" xfId="427"/>
    <cellStyle name="Normal 2 2 2 2 2 2 2 23 2 3 2 2 5" xfId="428"/>
    <cellStyle name="Normal 2 2 2 2 2 2 2 23 2 3 2 2 6" xfId="429"/>
    <cellStyle name="Normal 2 2 2 2 2 2 2 23 2 3 2 2 7" xfId="430"/>
    <cellStyle name="Normal 2 2 2 2 2 2 2 23 2 3 2 2 8" xfId="431"/>
    <cellStyle name="Normal 2 2 2 2 2 2 2 23 2 3 2 2 9" xfId="432"/>
    <cellStyle name="Normal 2 2 2 2 2 2 2 23 2 3 2 3" xfId="433"/>
    <cellStyle name="Normal 2 2 2 2 2 2 2 23 2 3 2 3 10" xfId="434"/>
    <cellStyle name="Normal 2 2 2 2 2 2 2 23 2 3 2 3 11" xfId="435"/>
    <cellStyle name="Normal 2 2 2 2 2 2 2 23 2 3 2 3 2" xfId="436"/>
    <cellStyle name="Normal 2 2 2 2 2 2 2 23 2 3 2 3 2 2" xfId="437"/>
    <cellStyle name="Normal 2 2 2 2 2 2 2 23 2 3 2 3 3" xfId="438"/>
    <cellStyle name="Normal 2 2 2 2 2 2 2 23 2 3 2 3 4" xfId="439"/>
    <cellStyle name="Normal 2 2 2 2 2 2 2 23 2 3 2 3 5" xfId="440"/>
    <cellStyle name="Normal 2 2 2 2 2 2 2 23 2 3 2 3 6" xfId="441"/>
    <cellStyle name="Normal 2 2 2 2 2 2 2 23 2 3 2 3 7" xfId="442"/>
    <cellStyle name="Normal 2 2 2 2 2 2 2 23 2 3 2 3 8" xfId="443"/>
    <cellStyle name="Normal 2 2 2 2 2 2 2 23 2 3 2 3 9" xfId="444"/>
    <cellStyle name="Normal 2 2 2 2 2 2 2 23 2 3 2 4" xfId="445"/>
    <cellStyle name="Normal 2 2 2 2 2 2 2 23 2 3 2 4 2" xfId="446"/>
    <cellStyle name="Normal 2 2 2 2 2 2 2 23 2 3 2 5" xfId="447"/>
    <cellStyle name="Normal 2 2 2 2 2 2 2 23 2 3 2 6" xfId="448"/>
    <cellStyle name="Normal 2 2 2 2 2 2 2 23 2 3 2 7" xfId="449"/>
    <cellStyle name="Normal 2 2 2 2 2 2 2 23 2 3 2 8" xfId="450"/>
    <cellStyle name="Normal 2 2 2 2 2 2 2 23 2 3 2 9" xfId="451"/>
    <cellStyle name="Normal 2 2 2 2 2 2 2 23 2 3 3" xfId="452"/>
    <cellStyle name="Normal 2 2 2 2 2 2 2 23 2 3 3 10" xfId="453"/>
    <cellStyle name="Normal 2 2 2 2 2 2 2 23 2 3 3 11" xfId="454"/>
    <cellStyle name="Normal 2 2 2 2 2 2 2 23 2 3 3 2" xfId="455"/>
    <cellStyle name="Normal 2 2 2 2 2 2 2 23 2 3 3 2 10" xfId="456"/>
    <cellStyle name="Normal 2 2 2 2 2 2 2 23 2 3 3 2 11" xfId="457"/>
    <cellStyle name="Normal 2 2 2 2 2 2 2 23 2 3 3 2 2" xfId="458"/>
    <cellStyle name="Normal 2 2 2 2 2 2 2 23 2 3 3 2 2 2" xfId="459"/>
    <cellStyle name="Normal 2 2 2 2 2 2 2 23 2 3 3 2 3" xfId="460"/>
    <cellStyle name="Normal 2 2 2 2 2 2 2 23 2 3 3 2 4" xfId="461"/>
    <cellStyle name="Normal 2 2 2 2 2 2 2 23 2 3 3 2 5" xfId="462"/>
    <cellStyle name="Normal 2 2 2 2 2 2 2 23 2 3 3 2 6" xfId="463"/>
    <cellStyle name="Normal 2 2 2 2 2 2 2 23 2 3 3 2 7" xfId="464"/>
    <cellStyle name="Normal 2 2 2 2 2 2 2 23 2 3 3 2 8" xfId="465"/>
    <cellStyle name="Normal 2 2 2 2 2 2 2 23 2 3 3 2 9" xfId="466"/>
    <cellStyle name="Normal 2 2 2 2 2 2 2 23 2 3 3 3" xfId="467"/>
    <cellStyle name="Normal 2 2 2 2 2 2 2 23 2 3 3 3 2" xfId="468"/>
    <cellStyle name="Normal 2 2 2 2 2 2 2 23 2 3 3 4" xfId="469"/>
    <cellStyle name="Normal 2 2 2 2 2 2 2 23 2 3 3 5" xfId="470"/>
    <cellStyle name="Normal 2 2 2 2 2 2 2 23 2 3 3 6" xfId="471"/>
    <cellStyle name="Normal 2 2 2 2 2 2 2 23 2 3 3 7" xfId="472"/>
    <cellStyle name="Normal 2 2 2 2 2 2 2 23 2 3 3 8" xfId="473"/>
    <cellStyle name="Normal 2 2 2 2 2 2 2 23 2 3 3 9" xfId="474"/>
    <cellStyle name="Normal 2 2 2 2 2 2 2 23 2 3 4" xfId="475"/>
    <cellStyle name="Normal 2 2 2 2 2 2 2 23 2 3 4 2" xfId="476"/>
    <cellStyle name="Normal 2 2 2 2 2 2 2 23 2 3 5" xfId="477"/>
    <cellStyle name="Normal 2 2 2 2 2 2 2 23 2 3 6" xfId="478"/>
    <cellStyle name="Normal 2 2 2 2 2 2 2 23 2 3 7" xfId="479"/>
    <cellStyle name="Normal 2 2 2 2 2 2 2 23 2 3 8" xfId="480"/>
    <cellStyle name="Normal 2 2 2 2 2 2 2 23 2 3 9" xfId="481"/>
    <cellStyle name="Normal 2 2 2 2 2 2 2 23 2 4" xfId="482"/>
    <cellStyle name="Normal 2 2 2 2 2 2 2 23 2 4 10" xfId="483"/>
    <cellStyle name="Normal 2 2 2 2 2 2 2 23 2 4 11" xfId="484"/>
    <cellStyle name="Normal 2 2 2 2 2 2 2 23 2 4 12" xfId="485"/>
    <cellStyle name="Normal 2 2 2 2 2 2 2 23 2 4 2" xfId="486"/>
    <cellStyle name="Normal 2 2 2 2 2 2 2 23 2 4 2 10" xfId="487"/>
    <cellStyle name="Normal 2 2 2 2 2 2 2 23 2 4 2 11" xfId="488"/>
    <cellStyle name="Normal 2 2 2 2 2 2 2 23 2 4 2 2" xfId="489"/>
    <cellStyle name="Normal 2 2 2 2 2 2 2 23 2 4 2 2 10" xfId="490"/>
    <cellStyle name="Normal 2 2 2 2 2 2 2 23 2 4 2 2 11" xfId="491"/>
    <cellStyle name="Normal 2 2 2 2 2 2 2 23 2 4 2 2 2" xfId="492"/>
    <cellStyle name="Normal 2 2 2 2 2 2 2 23 2 4 2 2 2 2" xfId="493"/>
    <cellStyle name="Normal 2 2 2 2 2 2 2 23 2 4 2 2 3" xfId="494"/>
    <cellStyle name="Normal 2 2 2 2 2 2 2 23 2 4 2 2 4" xfId="495"/>
    <cellStyle name="Normal 2 2 2 2 2 2 2 23 2 4 2 2 5" xfId="496"/>
    <cellStyle name="Normal 2 2 2 2 2 2 2 23 2 4 2 2 6" xfId="497"/>
    <cellStyle name="Normal 2 2 2 2 2 2 2 23 2 4 2 2 7" xfId="498"/>
    <cellStyle name="Normal 2 2 2 2 2 2 2 23 2 4 2 2 8" xfId="499"/>
    <cellStyle name="Normal 2 2 2 2 2 2 2 23 2 4 2 2 9" xfId="500"/>
    <cellStyle name="Normal 2 2 2 2 2 2 2 23 2 4 2 3" xfId="501"/>
    <cellStyle name="Normal 2 2 2 2 2 2 2 23 2 4 2 3 2" xfId="502"/>
    <cellStyle name="Normal 2 2 2 2 2 2 2 23 2 4 2 4" xfId="503"/>
    <cellStyle name="Normal 2 2 2 2 2 2 2 23 2 4 2 5" xfId="504"/>
    <cellStyle name="Normal 2 2 2 2 2 2 2 23 2 4 2 6" xfId="505"/>
    <cellStyle name="Normal 2 2 2 2 2 2 2 23 2 4 2 7" xfId="506"/>
    <cellStyle name="Normal 2 2 2 2 2 2 2 23 2 4 2 8" xfId="507"/>
    <cellStyle name="Normal 2 2 2 2 2 2 2 23 2 4 2 9" xfId="508"/>
    <cellStyle name="Normal 2 2 2 2 2 2 2 23 2 4 3" xfId="509"/>
    <cellStyle name="Normal 2 2 2 2 2 2 2 23 2 4 3 2" xfId="510"/>
    <cellStyle name="Normal 2 2 2 2 2 2 2 23 2 4 4" xfId="511"/>
    <cellStyle name="Normal 2 2 2 2 2 2 2 23 2 4 5" xfId="512"/>
    <cellStyle name="Normal 2 2 2 2 2 2 2 23 2 4 6" xfId="513"/>
    <cellStyle name="Normal 2 2 2 2 2 2 2 23 2 4 7" xfId="514"/>
    <cellStyle name="Normal 2 2 2 2 2 2 2 23 2 4 8" xfId="515"/>
    <cellStyle name="Normal 2 2 2 2 2 2 2 23 2 4 9" xfId="516"/>
    <cellStyle name="Normal 2 2 2 2 2 2 2 23 2 5" xfId="517"/>
    <cellStyle name="Normal 2 2 2 2 2 2 2 23 2 5 10" xfId="518"/>
    <cellStyle name="Normal 2 2 2 2 2 2 2 23 2 5 11" xfId="519"/>
    <cellStyle name="Normal 2 2 2 2 2 2 2 23 2 5 2" xfId="520"/>
    <cellStyle name="Normal 2 2 2 2 2 2 2 23 2 5 2 2" xfId="521"/>
    <cellStyle name="Normal 2 2 2 2 2 2 2 23 2 5 3" xfId="522"/>
    <cellStyle name="Normal 2 2 2 2 2 2 2 23 2 5 4" xfId="523"/>
    <cellStyle name="Normal 2 2 2 2 2 2 2 23 2 5 5" xfId="524"/>
    <cellStyle name="Normal 2 2 2 2 2 2 2 23 2 5 6" xfId="525"/>
    <cellStyle name="Normal 2 2 2 2 2 2 2 23 2 5 7" xfId="526"/>
    <cellStyle name="Normal 2 2 2 2 2 2 2 23 2 5 8" xfId="527"/>
    <cellStyle name="Normal 2 2 2 2 2 2 2 23 2 5 9" xfId="528"/>
    <cellStyle name="Normal 2 2 2 2 2 2 2 23 2 6" xfId="529"/>
    <cellStyle name="Normal 2 2 2 2 2 2 2 23 2 6 2" xfId="530"/>
    <cellStyle name="Normal 2 2 2 2 2 2 2 23 2 7" xfId="531"/>
    <cellStyle name="Normal 2 2 2 2 2 2 2 23 2 8" xfId="532"/>
    <cellStyle name="Normal 2 2 2 2 2 2 2 23 2 9" xfId="533"/>
    <cellStyle name="Normal 2 2 2 2 2 2 2 23 3" xfId="534"/>
    <cellStyle name="Normal 2 2 2 2 2 2 2 23 3 10" xfId="535"/>
    <cellStyle name="Normal 2 2 2 2 2 2 2 23 3 11" xfId="536"/>
    <cellStyle name="Normal 2 2 2 2 2 2 2 23 3 12" xfId="537"/>
    <cellStyle name="Normal 2 2 2 2 2 2 2 23 3 13" xfId="538"/>
    <cellStyle name="Normal 2 2 2 2 2 2 2 23 3 2" xfId="539"/>
    <cellStyle name="Normal 2 2 2 2 2 2 2 23 3 2 10" xfId="540"/>
    <cellStyle name="Normal 2 2 2 2 2 2 2 23 3 2 11" xfId="541"/>
    <cellStyle name="Normal 2 2 2 2 2 2 2 23 3 2 12" xfId="542"/>
    <cellStyle name="Normal 2 2 2 2 2 2 2 23 3 2 13" xfId="543"/>
    <cellStyle name="Normal 2 2 2 2 2 2 2 23 3 2 2" xfId="544"/>
    <cellStyle name="Normal 2 2 2 2 2 2 2 23 3 2 2 10" xfId="545"/>
    <cellStyle name="Normal 2 2 2 2 2 2 2 23 3 2 2 11" xfId="546"/>
    <cellStyle name="Normal 2 2 2 2 2 2 2 23 3 2 2 12" xfId="547"/>
    <cellStyle name="Normal 2 2 2 2 2 2 2 23 3 2 2 2" xfId="548"/>
    <cellStyle name="Normal 2 2 2 2 2 2 2 23 3 2 2 2 10" xfId="549"/>
    <cellStyle name="Normal 2 2 2 2 2 2 2 23 3 2 2 2 11" xfId="550"/>
    <cellStyle name="Normal 2 2 2 2 2 2 2 23 3 2 2 2 12" xfId="551"/>
    <cellStyle name="Normal 2 2 2 2 2 2 2 23 3 2 2 2 2" xfId="552"/>
    <cellStyle name="Normal 2 2 2 2 2 2 2 23 3 2 2 2 2 10" xfId="553"/>
    <cellStyle name="Normal 2 2 2 2 2 2 2 23 3 2 2 2 2 11" xfId="554"/>
    <cellStyle name="Normal 2 2 2 2 2 2 2 23 3 2 2 2 2 2" xfId="555"/>
    <cellStyle name="Normal 2 2 2 2 2 2 2 23 3 2 2 2 2 2 10" xfId="556"/>
    <cellStyle name="Normal 2 2 2 2 2 2 2 23 3 2 2 2 2 2 11" xfId="557"/>
    <cellStyle name="Normal 2 2 2 2 2 2 2 23 3 2 2 2 2 2 2" xfId="558"/>
    <cellStyle name="Normal 2 2 2 2 2 2 2 23 3 2 2 2 2 2 2 2" xfId="559"/>
    <cellStyle name="Normal 2 2 2 2 2 2 2 23 3 2 2 2 2 2 3" xfId="560"/>
    <cellStyle name="Normal 2 2 2 2 2 2 2 23 3 2 2 2 2 2 4" xfId="561"/>
    <cellStyle name="Normal 2 2 2 2 2 2 2 23 3 2 2 2 2 2 5" xfId="562"/>
    <cellStyle name="Normal 2 2 2 2 2 2 2 23 3 2 2 2 2 2 6" xfId="563"/>
    <cellStyle name="Normal 2 2 2 2 2 2 2 23 3 2 2 2 2 2 7" xfId="564"/>
    <cellStyle name="Normal 2 2 2 2 2 2 2 23 3 2 2 2 2 2 8" xfId="565"/>
    <cellStyle name="Normal 2 2 2 2 2 2 2 23 3 2 2 2 2 2 9" xfId="566"/>
    <cellStyle name="Normal 2 2 2 2 2 2 2 23 3 2 2 2 2 3" xfId="567"/>
    <cellStyle name="Normal 2 2 2 2 2 2 2 23 3 2 2 2 2 3 2" xfId="568"/>
    <cellStyle name="Normal 2 2 2 2 2 2 2 23 3 2 2 2 2 4" xfId="569"/>
    <cellStyle name="Normal 2 2 2 2 2 2 2 23 3 2 2 2 2 5" xfId="570"/>
    <cellStyle name="Normal 2 2 2 2 2 2 2 23 3 2 2 2 2 6" xfId="571"/>
    <cellStyle name="Normal 2 2 2 2 2 2 2 23 3 2 2 2 2 7" xfId="572"/>
    <cellStyle name="Normal 2 2 2 2 2 2 2 23 3 2 2 2 2 8" xfId="573"/>
    <cellStyle name="Normal 2 2 2 2 2 2 2 23 3 2 2 2 2 9" xfId="574"/>
    <cellStyle name="Normal 2 2 2 2 2 2 2 23 3 2 2 2 3" xfId="575"/>
    <cellStyle name="Normal 2 2 2 2 2 2 2 23 3 2 2 2 3 2" xfId="576"/>
    <cellStyle name="Normal 2 2 2 2 2 2 2 23 3 2 2 2 4" xfId="577"/>
    <cellStyle name="Normal 2 2 2 2 2 2 2 23 3 2 2 2 5" xfId="578"/>
    <cellStyle name="Normal 2 2 2 2 2 2 2 23 3 2 2 2 6" xfId="579"/>
    <cellStyle name="Normal 2 2 2 2 2 2 2 23 3 2 2 2 7" xfId="580"/>
    <cellStyle name="Normal 2 2 2 2 2 2 2 23 3 2 2 2 8" xfId="581"/>
    <cellStyle name="Normal 2 2 2 2 2 2 2 23 3 2 2 2 9" xfId="582"/>
    <cellStyle name="Normal 2 2 2 2 2 2 2 23 3 2 2 3" xfId="583"/>
    <cellStyle name="Normal 2 2 2 2 2 2 2 23 3 2 2 3 10" xfId="584"/>
    <cellStyle name="Normal 2 2 2 2 2 2 2 23 3 2 2 3 11" xfId="585"/>
    <cellStyle name="Normal 2 2 2 2 2 2 2 23 3 2 2 3 2" xfId="586"/>
    <cellStyle name="Normal 2 2 2 2 2 2 2 23 3 2 2 3 2 2" xfId="587"/>
    <cellStyle name="Normal 2 2 2 2 2 2 2 23 3 2 2 3 3" xfId="588"/>
    <cellStyle name="Normal 2 2 2 2 2 2 2 23 3 2 2 3 4" xfId="589"/>
    <cellStyle name="Normal 2 2 2 2 2 2 2 23 3 2 2 3 5" xfId="590"/>
    <cellStyle name="Normal 2 2 2 2 2 2 2 23 3 2 2 3 6" xfId="591"/>
    <cellStyle name="Normal 2 2 2 2 2 2 2 23 3 2 2 3 7" xfId="592"/>
    <cellStyle name="Normal 2 2 2 2 2 2 2 23 3 2 2 3 8" xfId="593"/>
    <cellStyle name="Normal 2 2 2 2 2 2 2 23 3 2 2 3 9" xfId="594"/>
    <cellStyle name="Normal 2 2 2 2 2 2 2 23 3 2 2 4" xfId="595"/>
    <cellStyle name="Normal 2 2 2 2 2 2 2 23 3 2 2 4 2" xfId="596"/>
    <cellStyle name="Normal 2 2 2 2 2 2 2 23 3 2 2 5" xfId="597"/>
    <cellStyle name="Normal 2 2 2 2 2 2 2 23 3 2 2 6" xfId="598"/>
    <cellStyle name="Normal 2 2 2 2 2 2 2 23 3 2 2 7" xfId="599"/>
    <cellStyle name="Normal 2 2 2 2 2 2 2 23 3 2 2 8" xfId="600"/>
    <cellStyle name="Normal 2 2 2 2 2 2 2 23 3 2 2 9" xfId="601"/>
    <cellStyle name="Normal 2 2 2 2 2 2 2 23 3 2 3" xfId="602"/>
    <cellStyle name="Normal 2 2 2 2 2 2 2 23 3 2 3 10" xfId="603"/>
    <cellStyle name="Normal 2 2 2 2 2 2 2 23 3 2 3 11" xfId="604"/>
    <cellStyle name="Normal 2 2 2 2 2 2 2 23 3 2 3 2" xfId="605"/>
    <cellStyle name="Normal 2 2 2 2 2 2 2 23 3 2 3 2 10" xfId="606"/>
    <cellStyle name="Normal 2 2 2 2 2 2 2 23 3 2 3 2 11" xfId="607"/>
    <cellStyle name="Normal 2 2 2 2 2 2 2 23 3 2 3 2 2" xfId="608"/>
    <cellStyle name="Normal 2 2 2 2 2 2 2 23 3 2 3 2 2 2" xfId="609"/>
    <cellStyle name="Normal 2 2 2 2 2 2 2 23 3 2 3 2 3" xfId="610"/>
    <cellStyle name="Normal 2 2 2 2 2 2 2 23 3 2 3 2 4" xfId="611"/>
    <cellStyle name="Normal 2 2 2 2 2 2 2 23 3 2 3 2 5" xfId="612"/>
    <cellStyle name="Normal 2 2 2 2 2 2 2 23 3 2 3 2 6" xfId="613"/>
    <cellStyle name="Normal 2 2 2 2 2 2 2 23 3 2 3 2 7" xfId="614"/>
    <cellStyle name="Normal 2 2 2 2 2 2 2 23 3 2 3 2 8" xfId="615"/>
    <cellStyle name="Normal 2 2 2 2 2 2 2 23 3 2 3 2 9" xfId="616"/>
    <cellStyle name="Normal 2 2 2 2 2 2 2 23 3 2 3 3" xfId="617"/>
    <cellStyle name="Normal 2 2 2 2 2 2 2 23 3 2 3 3 2" xfId="618"/>
    <cellStyle name="Normal 2 2 2 2 2 2 2 23 3 2 3 4" xfId="619"/>
    <cellStyle name="Normal 2 2 2 2 2 2 2 23 3 2 3 5" xfId="620"/>
    <cellStyle name="Normal 2 2 2 2 2 2 2 23 3 2 3 6" xfId="621"/>
    <cellStyle name="Normal 2 2 2 2 2 2 2 23 3 2 3 7" xfId="622"/>
    <cellStyle name="Normal 2 2 2 2 2 2 2 23 3 2 3 8" xfId="623"/>
    <cellStyle name="Normal 2 2 2 2 2 2 2 23 3 2 3 9" xfId="624"/>
    <cellStyle name="Normal 2 2 2 2 2 2 2 23 3 2 4" xfId="625"/>
    <cellStyle name="Normal 2 2 2 2 2 2 2 23 3 2 4 2" xfId="626"/>
    <cellStyle name="Normal 2 2 2 2 2 2 2 23 3 2 5" xfId="627"/>
    <cellStyle name="Normal 2 2 2 2 2 2 2 23 3 2 6" xfId="628"/>
    <cellStyle name="Normal 2 2 2 2 2 2 2 23 3 2 7" xfId="629"/>
    <cellStyle name="Normal 2 2 2 2 2 2 2 23 3 2 8" xfId="630"/>
    <cellStyle name="Normal 2 2 2 2 2 2 2 23 3 2 9" xfId="631"/>
    <cellStyle name="Normal 2 2 2 2 2 2 2 23 3 3" xfId="632"/>
    <cellStyle name="Normal 2 2 2 2 2 2 2 23 3 3 10" xfId="633"/>
    <cellStyle name="Normal 2 2 2 2 2 2 2 23 3 3 11" xfId="634"/>
    <cellStyle name="Normal 2 2 2 2 2 2 2 23 3 3 12" xfId="635"/>
    <cellStyle name="Normal 2 2 2 2 2 2 2 23 3 3 2" xfId="636"/>
    <cellStyle name="Normal 2 2 2 2 2 2 2 23 3 3 2 10" xfId="637"/>
    <cellStyle name="Normal 2 2 2 2 2 2 2 23 3 3 2 11" xfId="638"/>
    <cellStyle name="Normal 2 2 2 2 2 2 2 23 3 3 2 2" xfId="639"/>
    <cellStyle name="Normal 2 2 2 2 2 2 2 23 3 3 2 2 10" xfId="640"/>
    <cellStyle name="Normal 2 2 2 2 2 2 2 23 3 3 2 2 11" xfId="641"/>
    <cellStyle name="Normal 2 2 2 2 2 2 2 23 3 3 2 2 2" xfId="642"/>
    <cellStyle name="Normal 2 2 2 2 2 2 2 23 3 3 2 2 2 2" xfId="643"/>
    <cellStyle name="Normal 2 2 2 2 2 2 2 23 3 3 2 2 3" xfId="644"/>
    <cellStyle name="Normal 2 2 2 2 2 2 2 23 3 3 2 2 4" xfId="645"/>
    <cellStyle name="Normal 2 2 2 2 2 2 2 23 3 3 2 2 5" xfId="646"/>
    <cellStyle name="Normal 2 2 2 2 2 2 2 23 3 3 2 2 6" xfId="647"/>
    <cellStyle name="Normal 2 2 2 2 2 2 2 23 3 3 2 2 7" xfId="648"/>
    <cellStyle name="Normal 2 2 2 2 2 2 2 23 3 3 2 2 8" xfId="649"/>
    <cellStyle name="Normal 2 2 2 2 2 2 2 23 3 3 2 2 9" xfId="650"/>
    <cellStyle name="Normal 2 2 2 2 2 2 2 23 3 3 2 3" xfId="651"/>
    <cellStyle name="Normal 2 2 2 2 2 2 2 23 3 3 2 3 2" xfId="652"/>
    <cellStyle name="Normal 2 2 2 2 2 2 2 23 3 3 2 4" xfId="653"/>
    <cellStyle name="Normal 2 2 2 2 2 2 2 23 3 3 2 5" xfId="654"/>
    <cellStyle name="Normal 2 2 2 2 2 2 2 23 3 3 2 6" xfId="655"/>
    <cellStyle name="Normal 2 2 2 2 2 2 2 23 3 3 2 7" xfId="656"/>
    <cellStyle name="Normal 2 2 2 2 2 2 2 23 3 3 2 8" xfId="657"/>
    <cellStyle name="Normal 2 2 2 2 2 2 2 23 3 3 2 9" xfId="658"/>
    <cellStyle name="Normal 2 2 2 2 2 2 2 23 3 3 3" xfId="659"/>
    <cellStyle name="Normal 2 2 2 2 2 2 2 23 3 3 3 2" xfId="660"/>
    <cellStyle name="Normal 2 2 2 2 2 2 2 23 3 3 4" xfId="661"/>
    <cellStyle name="Normal 2 2 2 2 2 2 2 23 3 3 5" xfId="662"/>
    <cellStyle name="Normal 2 2 2 2 2 2 2 23 3 3 6" xfId="663"/>
    <cellStyle name="Normal 2 2 2 2 2 2 2 23 3 3 7" xfId="664"/>
    <cellStyle name="Normal 2 2 2 2 2 2 2 23 3 3 8" xfId="665"/>
    <cellStyle name="Normal 2 2 2 2 2 2 2 23 3 3 9" xfId="666"/>
    <cellStyle name="Normal 2 2 2 2 2 2 2 23 3 4" xfId="667"/>
    <cellStyle name="Normal 2 2 2 2 2 2 2 23 3 4 10" xfId="668"/>
    <cellStyle name="Normal 2 2 2 2 2 2 2 23 3 4 11" xfId="669"/>
    <cellStyle name="Normal 2 2 2 2 2 2 2 23 3 4 2" xfId="670"/>
    <cellStyle name="Normal 2 2 2 2 2 2 2 23 3 4 2 2" xfId="671"/>
    <cellStyle name="Normal 2 2 2 2 2 2 2 23 3 4 3" xfId="672"/>
    <cellStyle name="Normal 2 2 2 2 2 2 2 23 3 4 4" xfId="673"/>
    <cellStyle name="Normal 2 2 2 2 2 2 2 23 3 4 5" xfId="674"/>
    <cellStyle name="Normal 2 2 2 2 2 2 2 23 3 4 6" xfId="675"/>
    <cellStyle name="Normal 2 2 2 2 2 2 2 23 3 4 7" xfId="676"/>
    <cellStyle name="Normal 2 2 2 2 2 2 2 23 3 4 8" xfId="677"/>
    <cellStyle name="Normal 2 2 2 2 2 2 2 23 3 4 9" xfId="678"/>
    <cellStyle name="Normal 2 2 2 2 2 2 2 23 3 5" xfId="679"/>
    <cellStyle name="Normal 2 2 2 2 2 2 2 23 3 5 2" xfId="680"/>
    <cellStyle name="Normal 2 2 2 2 2 2 2 23 3 6" xfId="681"/>
    <cellStyle name="Normal 2 2 2 2 2 2 2 23 3 7" xfId="682"/>
    <cellStyle name="Normal 2 2 2 2 2 2 2 23 3 8" xfId="683"/>
    <cellStyle name="Normal 2 2 2 2 2 2 2 23 3 9" xfId="684"/>
    <cellStyle name="Normal 2 2 2 2 2 2 2 23 4" xfId="685"/>
    <cellStyle name="Normal 2 2 2 2 2 2 2 23 4 10" xfId="686"/>
    <cellStyle name="Normal 2 2 2 2 2 2 2 23 4 11" xfId="687"/>
    <cellStyle name="Normal 2 2 2 2 2 2 2 23 4 12" xfId="688"/>
    <cellStyle name="Normal 2 2 2 2 2 2 2 23 4 2" xfId="689"/>
    <cellStyle name="Normal 2 2 2 2 2 2 2 23 4 2 10" xfId="690"/>
    <cellStyle name="Normal 2 2 2 2 2 2 2 23 4 2 11" xfId="691"/>
    <cellStyle name="Normal 2 2 2 2 2 2 2 23 4 2 12" xfId="692"/>
    <cellStyle name="Normal 2 2 2 2 2 2 2 23 4 2 2" xfId="693"/>
    <cellStyle name="Normal 2 2 2 2 2 2 2 23 4 2 2 10" xfId="694"/>
    <cellStyle name="Normal 2 2 2 2 2 2 2 23 4 2 2 11" xfId="695"/>
    <cellStyle name="Normal 2 2 2 2 2 2 2 23 4 2 2 2" xfId="696"/>
    <cellStyle name="Normal 2 2 2 2 2 2 2 23 4 2 2 2 10" xfId="697"/>
    <cellStyle name="Normal 2 2 2 2 2 2 2 23 4 2 2 2 11" xfId="698"/>
    <cellStyle name="Normal 2 2 2 2 2 2 2 23 4 2 2 2 2" xfId="699"/>
    <cellStyle name="Normal 2 2 2 2 2 2 2 23 4 2 2 2 2 2" xfId="700"/>
    <cellStyle name="Normal 2 2 2 2 2 2 2 23 4 2 2 2 3" xfId="701"/>
    <cellStyle name="Normal 2 2 2 2 2 2 2 23 4 2 2 2 4" xfId="702"/>
    <cellStyle name="Normal 2 2 2 2 2 2 2 23 4 2 2 2 5" xfId="703"/>
    <cellStyle name="Normal 2 2 2 2 2 2 2 23 4 2 2 2 6" xfId="704"/>
    <cellStyle name="Normal 2 2 2 2 2 2 2 23 4 2 2 2 7" xfId="705"/>
    <cellStyle name="Normal 2 2 2 2 2 2 2 23 4 2 2 2 8" xfId="706"/>
    <cellStyle name="Normal 2 2 2 2 2 2 2 23 4 2 2 2 9" xfId="707"/>
    <cellStyle name="Normal 2 2 2 2 2 2 2 23 4 2 2 3" xfId="708"/>
    <cellStyle name="Normal 2 2 2 2 2 2 2 23 4 2 2 3 2" xfId="709"/>
    <cellStyle name="Normal 2 2 2 2 2 2 2 23 4 2 2 4" xfId="710"/>
    <cellStyle name="Normal 2 2 2 2 2 2 2 23 4 2 2 5" xfId="711"/>
    <cellStyle name="Normal 2 2 2 2 2 2 2 23 4 2 2 6" xfId="712"/>
    <cellStyle name="Normal 2 2 2 2 2 2 2 23 4 2 2 7" xfId="713"/>
    <cellStyle name="Normal 2 2 2 2 2 2 2 23 4 2 2 8" xfId="714"/>
    <cellStyle name="Normal 2 2 2 2 2 2 2 23 4 2 2 9" xfId="715"/>
    <cellStyle name="Normal 2 2 2 2 2 2 2 23 4 2 3" xfId="716"/>
    <cellStyle name="Normal 2 2 2 2 2 2 2 23 4 2 3 2" xfId="717"/>
    <cellStyle name="Normal 2 2 2 2 2 2 2 23 4 2 4" xfId="718"/>
    <cellStyle name="Normal 2 2 2 2 2 2 2 23 4 2 5" xfId="719"/>
    <cellStyle name="Normal 2 2 2 2 2 2 2 23 4 2 6" xfId="720"/>
    <cellStyle name="Normal 2 2 2 2 2 2 2 23 4 2 7" xfId="721"/>
    <cellStyle name="Normal 2 2 2 2 2 2 2 23 4 2 8" xfId="722"/>
    <cellStyle name="Normal 2 2 2 2 2 2 2 23 4 2 9" xfId="723"/>
    <cellStyle name="Normal 2 2 2 2 2 2 2 23 4 3" xfId="724"/>
    <cellStyle name="Normal 2 2 2 2 2 2 2 23 4 3 10" xfId="725"/>
    <cellStyle name="Normal 2 2 2 2 2 2 2 23 4 3 11" xfId="726"/>
    <cellStyle name="Normal 2 2 2 2 2 2 2 23 4 3 2" xfId="727"/>
    <cellStyle name="Normal 2 2 2 2 2 2 2 23 4 3 2 2" xfId="728"/>
    <cellStyle name="Normal 2 2 2 2 2 2 2 23 4 3 3" xfId="729"/>
    <cellStyle name="Normal 2 2 2 2 2 2 2 23 4 3 4" xfId="730"/>
    <cellStyle name="Normal 2 2 2 2 2 2 2 23 4 3 5" xfId="731"/>
    <cellStyle name="Normal 2 2 2 2 2 2 2 23 4 3 6" xfId="732"/>
    <cellStyle name="Normal 2 2 2 2 2 2 2 23 4 3 7" xfId="733"/>
    <cellStyle name="Normal 2 2 2 2 2 2 2 23 4 3 8" xfId="734"/>
    <cellStyle name="Normal 2 2 2 2 2 2 2 23 4 3 9" xfId="735"/>
    <cellStyle name="Normal 2 2 2 2 2 2 2 23 4 4" xfId="736"/>
    <cellStyle name="Normal 2 2 2 2 2 2 2 23 4 4 2" xfId="737"/>
    <cellStyle name="Normal 2 2 2 2 2 2 2 23 4 5" xfId="738"/>
    <cellStyle name="Normal 2 2 2 2 2 2 2 23 4 6" xfId="739"/>
    <cellStyle name="Normal 2 2 2 2 2 2 2 23 4 7" xfId="740"/>
    <cellStyle name="Normal 2 2 2 2 2 2 2 23 4 8" xfId="741"/>
    <cellStyle name="Normal 2 2 2 2 2 2 2 23 4 9" xfId="742"/>
    <cellStyle name="Normal 2 2 2 2 2 2 2 23 5" xfId="743"/>
    <cellStyle name="Normal 2 2 2 2 2 2 2 23 5 10" xfId="744"/>
    <cellStyle name="Normal 2 2 2 2 2 2 2 23 5 11" xfId="745"/>
    <cellStyle name="Normal 2 2 2 2 2 2 2 23 5 2" xfId="746"/>
    <cellStyle name="Normal 2 2 2 2 2 2 2 23 5 2 10" xfId="747"/>
    <cellStyle name="Normal 2 2 2 2 2 2 2 23 5 2 11" xfId="748"/>
    <cellStyle name="Normal 2 2 2 2 2 2 2 23 5 2 2" xfId="749"/>
    <cellStyle name="Normal 2 2 2 2 2 2 2 23 5 2 2 2" xfId="750"/>
    <cellStyle name="Normal 2 2 2 2 2 2 2 23 5 2 3" xfId="751"/>
    <cellStyle name="Normal 2 2 2 2 2 2 2 23 5 2 4" xfId="752"/>
    <cellStyle name="Normal 2 2 2 2 2 2 2 23 5 2 5" xfId="753"/>
    <cellStyle name="Normal 2 2 2 2 2 2 2 23 5 2 6" xfId="754"/>
    <cellStyle name="Normal 2 2 2 2 2 2 2 23 5 2 7" xfId="755"/>
    <cellStyle name="Normal 2 2 2 2 2 2 2 23 5 2 8" xfId="756"/>
    <cellStyle name="Normal 2 2 2 2 2 2 2 23 5 2 9" xfId="757"/>
    <cellStyle name="Normal 2 2 2 2 2 2 2 23 5 3" xfId="758"/>
    <cellStyle name="Normal 2 2 2 2 2 2 2 23 5 3 2" xfId="759"/>
    <cellStyle name="Normal 2 2 2 2 2 2 2 23 5 4" xfId="760"/>
    <cellStyle name="Normal 2 2 2 2 2 2 2 23 5 5" xfId="761"/>
    <cellStyle name="Normal 2 2 2 2 2 2 2 23 5 6" xfId="762"/>
    <cellStyle name="Normal 2 2 2 2 2 2 2 23 5 7" xfId="763"/>
    <cellStyle name="Normal 2 2 2 2 2 2 2 23 5 8" xfId="764"/>
    <cellStyle name="Normal 2 2 2 2 2 2 2 23 5 9" xfId="765"/>
    <cellStyle name="Normal 2 2 2 2 2 2 2 23 6" xfId="766"/>
    <cellStyle name="Normal 2 2 2 2 2 2 2 23 6 2" xfId="767"/>
    <cellStyle name="Normal 2 2 2 2 2 2 2 23 7" xfId="768"/>
    <cellStyle name="Normal 2 2 2 2 2 2 2 23 8" xfId="769"/>
    <cellStyle name="Normal 2 2 2 2 2 2 2 23 9" xfId="770"/>
    <cellStyle name="Normal 2 2 2 2 2 2 2 24" xfId="771"/>
    <cellStyle name="Normal 2 2 2 2 2 2 2 24 10" xfId="772"/>
    <cellStyle name="Normal 2 2 2 2 2 2 2 24 11" xfId="773"/>
    <cellStyle name="Normal 2 2 2 2 2 2 2 24 12" xfId="774"/>
    <cellStyle name="Normal 2 2 2 2 2 2 2 24 13" xfId="775"/>
    <cellStyle name="Normal 2 2 2 2 2 2 2 24 14" xfId="776"/>
    <cellStyle name="Normal 2 2 2 2 2 2 2 24 2" xfId="777"/>
    <cellStyle name="Normal 2 2 2 2 2 2 2 24 2 10" xfId="778"/>
    <cellStyle name="Normal 2 2 2 2 2 2 2 24 2 11" xfId="779"/>
    <cellStyle name="Normal 2 2 2 2 2 2 2 24 2 12" xfId="780"/>
    <cellStyle name="Normal 2 2 2 2 2 2 2 24 2 13" xfId="781"/>
    <cellStyle name="Normal 2 2 2 2 2 2 2 24 2 2" xfId="782"/>
    <cellStyle name="Normal 2 2 2 2 2 2 2 24 2 2 10" xfId="783"/>
    <cellStyle name="Normal 2 2 2 2 2 2 2 24 2 2 11" xfId="784"/>
    <cellStyle name="Normal 2 2 2 2 2 2 2 24 2 2 12" xfId="785"/>
    <cellStyle name="Normal 2 2 2 2 2 2 2 24 2 2 13" xfId="786"/>
    <cellStyle name="Normal 2 2 2 2 2 2 2 24 2 2 2" xfId="787"/>
    <cellStyle name="Normal 2 2 2 2 2 2 2 24 2 2 2 10" xfId="788"/>
    <cellStyle name="Normal 2 2 2 2 2 2 2 24 2 2 2 11" xfId="789"/>
    <cellStyle name="Normal 2 2 2 2 2 2 2 24 2 2 2 12" xfId="790"/>
    <cellStyle name="Normal 2 2 2 2 2 2 2 24 2 2 2 2" xfId="791"/>
    <cellStyle name="Normal 2 2 2 2 2 2 2 24 2 2 2 2 10" xfId="792"/>
    <cellStyle name="Normal 2 2 2 2 2 2 2 24 2 2 2 2 11" xfId="793"/>
    <cellStyle name="Normal 2 2 2 2 2 2 2 24 2 2 2 2 12" xfId="794"/>
    <cellStyle name="Normal 2 2 2 2 2 2 2 24 2 2 2 2 2" xfId="795"/>
    <cellStyle name="Normal 2 2 2 2 2 2 2 24 2 2 2 2 2 10" xfId="796"/>
    <cellStyle name="Normal 2 2 2 2 2 2 2 24 2 2 2 2 2 11" xfId="797"/>
    <cellStyle name="Normal 2 2 2 2 2 2 2 24 2 2 2 2 2 2" xfId="798"/>
    <cellStyle name="Normal 2 2 2 2 2 2 2 24 2 2 2 2 2 2 10" xfId="799"/>
    <cellStyle name="Normal 2 2 2 2 2 2 2 24 2 2 2 2 2 2 11" xfId="800"/>
    <cellStyle name="Normal 2 2 2 2 2 2 2 24 2 2 2 2 2 2 2" xfId="801"/>
    <cellStyle name="Normal 2 2 2 2 2 2 2 24 2 2 2 2 2 2 2 2" xfId="802"/>
    <cellStyle name="Normal 2 2 2 2 2 2 2 24 2 2 2 2 2 2 3" xfId="803"/>
    <cellStyle name="Normal 2 2 2 2 2 2 2 24 2 2 2 2 2 2 4" xfId="804"/>
    <cellStyle name="Normal 2 2 2 2 2 2 2 24 2 2 2 2 2 2 5" xfId="805"/>
    <cellStyle name="Normal 2 2 2 2 2 2 2 24 2 2 2 2 2 2 6" xfId="806"/>
    <cellStyle name="Normal 2 2 2 2 2 2 2 24 2 2 2 2 2 2 7" xfId="807"/>
    <cellStyle name="Normal 2 2 2 2 2 2 2 24 2 2 2 2 2 2 8" xfId="808"/>
    <cellStyle name="Normal 2 2 2 2 2 2 2 24 2 2 2 2 2 2 9" xfId="809"/>
    <cellStyle name="Normal 2 2 2 2 2 2 2 24 2 2 2 2 2 3" xfId="810"/>
    <cellStyle name="Normal 2 2 2 2 2 2 2 24 2 2 2 2 2 3 2" xfId="811"/>
    <cellStyle name="Normal 2 2 2 2 2 2 2 24 2 2 2 2 2 4" xfId="812"/>
    <cellStyle name="Normal 2 2 2 2 2 2 2 24 2 2 2 2 2 5" xfId="813"/>
    <cellStyle name="Normal 2 2 2 2 2 2 2 24 2 2 2 2 2 6" xfId="814"/>
    <cellStyle name="Normal 2 2 2 2 2 2 2 24 2 2 2 2 2 7" xfId="815"/>
    <cellStyle name="Normal 2 2 2 2 2 2 2 24 2 2 2 2 2 8" xfId="816"/>
    <cellStyle name="Normal 2 2 2 2 2 2 2 24 2 2 2 2 2 9" xfId="817"/>
    <cellStyle name="Normal 2 2 2 2 2 2 2 24 2 2 2 2 3" xfId="818"/>
    <cellStyle name="Normal 2 2 2 2 2 2 2 24 2 2 2 2 3 2" xfId="819"/>
    <cellStyle name="Normal 2 2 2 2 2 2 2 24 2 2 2 2 4" xfId="820"/>
    <cellStyle name="Normal 2 2 2 2 2 2 2 24 2 2 2 2 5" xfId="821"/>
    <cellStyle name="Normal 2 2 2 2 2 2 2 24 2 2 2 2 6" xfId="822"/>
    <cellStyle name="Normal 2 2 2 2 2 2 2 24 2 2 2 2 7" xfId="823"/>
    <cellStyle name="Normal 2 2 2 2 2 2 2 24 2 2 2 2 8" xfId="824"/>
    <cellStyle name="Normal 2 2 2 2 2 2 2 24 2 2 2 2 9" xfId="825"/>
    <cellStyle name="Normal 2 2 2 2 2 2 2 24 2 2 2 3" xfId="826"/>
    <cellStyle name="Normal 2 2 2 2 2 2 2 24 2 2 2 3 10" xfId="827"/>
    <cellStyle name="Normal 2 2 2 2 2 2 2 24 2 2 2 3 11" xfId="828"/>
    <cellStyle name="Normal 2 2 2 2 2 2 2 24 2 2 2 3 2" xfId="829"/>
    <cellStyle name="Normal 2 2 2 2 2 2 2 24 2 2 2 3 2 2" xfId="830"/>
    <cellStyle name="Normal 2 2 2 2 2 2 2 24 2 2 2 3 3" xfId="831"/>
    <cellStyle name="Normal 2 2 2 2 2 2 2 24 2 2 2 3 4" xfId="832"/>
    <cellStyle name="Normal 2 2 2 2 2 2 2 24 2 2 2 3 5" xfId="833"/>
    <cellStyle name="Normal 2 2 2 2 2 2 2 24 2 2 2 3 6" xfId="834"/>
    <cellStyle name="Normal 2 2 2 2 2 2 2 24 2 2 2 3 7" xfId="835"/>
    <cellStyle name="Normal 2 2 2 2 2 2 2 24 2 2 2 3 8" xfId="836"/>
    <cellStyle name="Normal 2 2 2 2 2 2 2 24 2 2 2 3 9" xfId="837"/>
    <cellStyle name="Normal 2 2 2 2 2 2 2 24 2 2 2 4" xfId="838"/>
    <cellStyle name="Normal 2 2 2 2 2 2 2 24 2 2 2 4 2" xfId="839"/>
    <cellStyle name="Normal 2 2 2 2 2 2 2 24 2 2 2 5" xfId="840"/>
    <cellStyle name="Normal 2 2 2 2 2 2 2 24 2 2 2 6" xfId="841"/>
    <cellStyle name="Normal 2 2 2 2 2 2 2 24 2 2 2 7" xfId="842"/>
    <cellStyle name="Normal 2 2 2 2 2 2 2 24 2 2 2 8" xfId="843"/>
    <cellStyle name="Normal 2 2 2 2 2 2 2 24 2 2 2 9" xfId="844"/>
    <cellStyle name="Normal 2 2 2 2 2 2 2 24 2 2 3" xfId="845"/>
    <cellStyle name="Normal 2 2 2 2 2 2 2 24 2 2 3 10" xfId="846"/>
    <cellStyle name="Normal 2 2 2 2 2 2 2 24 2 2 3 11" xfId="847"/>
    <cellStyle name="Normal 2 2 2 2 2 2 2 24 2 2 3 2" xfId="848"/>
    <cellStyle name="Normal 2 2 2 2 2 2 2 24 2 2 3 2 10" xfId="849"/>
    <cellStyle name="Normal 2 2 2 2 2 2 2 24 2 2 3 2 11" xfId="850"/>
    <cellStyle name="Normal 2 2 2 2 2 2 2 24 2 2 3 2 2" xfId="851"/>
    <cellStyle name="Normal 2 2 2 2 2 2 2 24 2 2 3 2 2 2" xfId="852"/>
    <cellStyle name="Normal 2 2 2 2 2 2 2 24 2 2 3 2 3" xfId="853"/>
    <cellStyle name="Normal 2 2 2 2 2 2 2 24 2 2 3 2 4" xfId="854"/>
    <cellStyle name="Normal 2 2 2 2 2 2 2 24 2 2 3 2 5" xfId="855"/>
    <cellStyle name="Normal 2 2 2 2 2 2 2 24 2 2 3 2 6" xfId="856"/>
    <cellStyle name="Normal 2 2 2 2 2 2 2 24 2 2 3 2 7" xfId="857"/>
    <cellStyle name="Normal 2 2 2 2 2 2 2 24 2 2 3 2 8" xfId="858"/>
    <cellStyle name="Normal 2 2 2 2 2 2 2 24 2 2 3 2 9" xfId="859"/>
    <cellStyle name="Normal 2 2 2 2 2 2 2 24 2 2 3 3" xfId="860"/>
    <cellStyle name="Normal 2 2 2 2 2 2 2 24 2 2 3 3 2" xfId="861"/>
    <cellStyle name="Normal 2 2 2 2 2 2 2 24 2 2 3 4" xfId="862"/>
    <cellStyle name="Normal 2 2 2 2 2 2 2 24 2 2 3 5" xfId="863"/>
    <cellStyle name="Normal 2 2 2 2 2 2 2 24 2 2 3 6" xfId="864"/>
    <cellStyle name="Normal 2 2 2 2 2 2 2 24 2 2 3 7" xfId="865"/>
    <cellStyle name="Normal 2 2 2 2 2 2 2 24 2 2 3 8" xfId="866"/>
    <cellStyle name="Normal 2 2 2 2 2 2 2 24 2 2 3 9" xfId="867"/>
    <cellStyle name="Normal 2 2 2 2 2 2 2 24 2 2 4" xfId="868"/>
    <cellStyle name="Normal 2 2 2 2 2 2 2 24 2 2 4 2" xfId="869"/>
    <cellStyle name="Normal 2 2 2 2 2 2 2 24 2 2 5" xfId="870"/>
    <cellStyle name="Normal 2 2 2 2 2 2 2 24 2 2 6" xfId="871"/>
    <cellStyle name="Normal 2 2 2 2 2 2 2 24 2 2 7" xfId="872"/>
    <cellStyle name="Normal 2 2 2 2 2 2 2 24 2 2 8" xfId="873"/>
    <cellStyle name="Normal 2 2 2 2 2 2 2 24 2 2 9" xfId="874"/>
    <cellStyle name="Normal 2 2 2 2 2 2 2 24 2 3" xfId="875"/>
    <cellStyle name="Normal 2 2 2 2 2 2 2 24 2 3 10" xfId="876"/>
    <cellStyle name="Normal 2 2 2 2 2 2 2 24 2 3 11" xfId="877"/>
    <cellStyle name="Normal 2 2 2 2 2 2 2 24 2 3 12" xfId="878"/>
    <cellStyle name="Normal 2 2 2 2 2 2 2 24 2 3 2" xfId="879"/>
    <cellStyle name="Normal 2 2 2 2 2 2 2 24 2 3 2 10" xfId="880"/>
    <cellStyle name="Normal 2 2 2 2 2 2 2 24 2 3 2 11" xfId="881"/>
    <cellStyle name="Normal 2 2 2 2 2 2 2 24 2 3 2 2" xfId="882"/>
    <cellStyle name="Normal 2 2 2 2 2 2 2 24 2 3 2 2 10" xfId="883"/>
    <cellStyle name="Normal 2 2 2 2 2 2 2 24 2 3 2 2 11" xfId="884"/>
    <cellStyle name="Normal 2 2 2 2 2 2 2 24 2 3 2 2 2" xfId="885"/>
    <cellStyle name="Normal 2 2 2 2 2 2 2 24 2 3 2 2 2 2" xfId="886"/>
    <cellStyle name="Normal 2 2 2 2 2 2 2 24 2 3 2 2 3" xfId="887"/>
    <cellStyle name="Normal 2 2 2 2 2 2 2 24 2 3 2 2 4" xfId="888"/>
    <cellStyle name="Normal 2 2 2 2 2 2 2 24 2 3 2 2 5" xfId="889"/>
    <cellStyle name="Normal 2 2 2 2 2 2 2 24 2 3 2 2 6" xfId="890"/>
    <cellStyle name="Normal 2 2 2 2 2 2 2 24 2 3 2 2 7" xfId="891"/>
    <cellStyle name="Normal 2 2 2 2 2 2 2 24 2 3 2 2 8" xfId="892"/>
    <cellStyle name="Normal 2 2 2 2 2 2 2 24 2 3 2 2 9" xfId="893"/>
    <cellStyle name="Normal 2 2 2 2 2 2 2 24 2 3 2 3" xfId="894"/>
    <cellStyle name="Normal 2 2 2 2 2 2 2 24 2 3 2 3 2" xfId="895"/>
    <cellStyle name="Normal 2 2 2 2 2 2 2 24 2 3 2 4" xfId="896"/>
    <cellStyle name="Normal 2 2 2 2 2 2 2 24 2 3 2 5" xfId="897"/>
    <cellStyle name="Normal 2 2 2 2 2 2 2 24 2 3 2 6" xfId="898"/>
    <cellStyle name="Normal 2 2 2 2 2 2 2 24 2 3 2 7" xfId="899"/>
    <cellStyle name="Normal 2 2 2 2 2 2 2 24 2 3 2 8" xfId="900"/>
    <cellStyle name="Normal 2 2 2 2 2 2 2 24 2 3 2 9" xfId="901"/>
    <cellStyle name="Normal 2 2 2 2 2 2 2 24 2 3 3" xfId="902"/>
    <cellStyle name="Normal 2 2 2 2 2 2 2 24 2 3 3 2" xfId="903"/>
    <cellStyle name="Normal 2 2 2 2 2 2 2 24 2 3 4" xfId="904"/>
    <cellStyle name="Normal 2 2 2 2 2 2 2 24 2 3 5" xfId="905"/>
    <cellStyle name="Normal 2 2 2 2 2 2 2 24 2 3 6" xfId="906"/>
    <cellStyle name="Normal 2 2 2 2 2 2 2 24 2 3 7" xfId="907"/>
    <cellStyle name="Normal 2 2 2 2 2 2 2 24 2 3 8" xfId="908"/>
    <cellStyle name="Normal 2 2 2 2 2 2 2 24 2 3 9" xfId="909"/>
    <cellStyle name="Normal 2 2 2 2 2 2 2 24 2 4" xfId="910"/>
    <cellStyle name="Normal 2 2 2 2 2 2 2 24 2 4 10" xfId="911"/>
    <cellStyle name="Normal 2 2 2 2 2 2 2 24 2 4 11" xfId="912"/>
    <cellStyle name="Normal 2 2 2 2 2 2 2 24 2 4 2" xfId="913"/>
    <cellStyle name="Normal 2 2 2 2 2 2 2 24 2 4 2 2" xfId="914"/>
    <cellStyle name="Normal 2 2 2 2 2 2 2 24 2 4 3" xfId="915"/>
    <cellStyle name="Normal 2 2 2 2 2 2 2 24 2 4 4" xfId="916"/>
    <cellStyle name="Normal 2 2 2 2 2 2 2 24 2 4 5" xfId="917"/>
    <cellStyle name="Normal 2 2 2 2 2 2 2 24 2 4 6" xfId="918"/>
    <cellStyle name="Normal 2 2 2 2 2 2 2 24 2 4 7" xfId="919"/>
    <cellStyle name="Normal 2 2 2 2 2 2 2 24 2 4 8" xfId="920"/>
    <cellStyle name="Normal 2 2 2 2 2 2 2 24 2 4 9" xfId="921"/>
    <cellStyle name="Normal 2 2 2 2 2 2 2 24 2 5" xfId="922"/>
    <cellStyle name="Normal 2 2 2 2 2 2 2 24 2 5 2" xfId="923"/>
    <cellStyle name="Normal 2 2 2 2 2 2 2 24 2 6" xfId="924"/>
    <cellStyle name="Normal 2 2 2 2 2 2 2 24 2 7" xfId="925"/>
    <cellStyle name="Normal 2 2 2 2 2 2 2 24 2 8" xfId="926"/>
    <cellStyle name="Normal 2 2 2 2 2 2 2 24 2 9" xfId="927"/>
    <cellStyle name="Normal 2 2 2 2 2 2 2 24 3" xfId="928"/>
    <cellStyle name="Normal 2 2 2 2 2 2 2 24 3 10" xfId="929"/>
    <cellStyle name="Normal 2 2 2 2 2 2 2 24 3 11" xfId="930"/>
    <cellStyle name="Normal 2 2 2 2 2 2 2 24 3 12" xfId="931"/>
    <cellStyle name="Normal 2 2 2 2 2 2 2 24 3 2" xfId="932"/>
    <cellStyle name="Normal 2 2 2 2 2 2 2 24 3 2 10" xfId="933"/>
    <cellStyle name="Normal 2 2 2 2 2 2 2 24 3 2 11" xfId="934"/>
    <cellStyle name="Normal 2 2 2 2 2 2 2 24 3 2 12" xfId="935"/>
    <cellStyle name="Normal 2 2 2 2 2 2 2 24 3 2 2" xfId="936"/>
    <cellStyle name="Normal 2 2 2 2 2 2 2 24 3 2 2 10" xfId="937"/>
    <cellStyle name="Normal 2 2 2 2 2 2 2 24 3 2 2 11" xfId="938"/>
    <cellStyle name="Normal 2 2 2 2 2 2 2 24 3 2 2 2" xfId="939"/>
    <cellStyle name="Normal 2 2 2 2 2 2 2 24 3 2 2 2 10" xfId="940"/>
    <cellStyle name="Normal 2 2 2 2 2 2 2 24 3 2 2 2 11" xfId="941"/>
    <cellStyle name="Normal 2 2 2 2 2 2 2 24 3 2 2 2 2" xfId="942"/>
    <cellStyle name="Normal 2 2 2 2 2 2 2 24 3 2 2 2 2 2" xfId="943"/>
    <cellStyle name="Normal 2 2 2 2 2 2 2 24 3 2 2 2 3" xfId="944"/>
    <cellStyle name="Normal 2 2 2 2 2 2 2 24 3 2 2 2 4" xfId="945"/>
    <cellStyle name="Normal 2 2 2 2 2 2 2 24 3 2 2 2 5" xfId="946"/>
    <cellStyle name="Normal 2 2 2 2 2 2 2 24 3 2 2 2 6" xfId="947"/>
    <cellStyle name="Normal 2 2 2 2 2 2 2 24 3 2 2 2 7" xfId="948"/>
    <cellStyle name="Normal 2 2 2 2 2 2 2 24 3 2 2 2 8" xfId="949"/>
    <cellStyle name="Normal 2 2 2 2 2 2 2 24 3 2 2 2 9" xfId="950"/>
    <cellStyle name="Normal 2 2 2 2 2 2 2 24 3 2 2 3" xfId="951"/>
    <cellStyle name="Normal 2 2 2 2 2 2 2 24 3 2 2 3 2" xfId="952"/>
    <cellStyle name="Normal 2 2 2 2 2 2 2 24 3 2 2 4" xfId="953"/>
    <cellStyle name="Normal 2 2 2 2 2 2 2 24 3 2 2 5" xfId="954"/>
    <cellStyle name="Normal 2 2 2 2 2 2 2 24 3 2 2 6" xfId="955"/>
    <cellStyle name="Normal 2 2 2 2 2 2 2 24 3 2 2 7" xfId="956"/>
    <cellStyle name="Normal 2 2 2 2 2 2 2 24 3 2 2 8" xfId="957"/>
    <cellStyle name="Normal 2 2 2 2 2 2 2 24 3 2 2 9" xfId="958"/>
    <cellStyle name="Normal 2 2 2 2 2 2 2 24 3 2 3" xfId="959"/>
    <cellStyle name="Normal 2 2 2 2 2 2 2 24 3 2 3 2" xfId="960"/>
    <cellStyle name="Normal 2 2 2 2 2 2 2 24 3 2 4" xfId="961"/>
    <cellStyle name="Normal 2 2 2 2 2 2 2 24 3 2 5" xfId="962"/>
    <cellStyle name="Normal 2 2 2 2 2 2 2 24 3 2 6" xfId="963"/>
    <cellStyle name="Normal 2 2 2 2 2 2 2 24 3 2 7" xfId="964"/>
    <cellStyle name="Normal 2 2 2 2 2 2 2 24 3 2 8" xfId="965"/>
    <cellStyle name="Normal 2 2 2 2 2 2 2 24 3 2 9" xfId="966"/>
    <cellStyle name="Normal 2 2 2 2 2 2 2 24 3 3" xfId="967"/>
    <cellStyle name="Normal 2 2 2 2 2 2 2 24 3 3 10" xfId="968"/>
    <cellStyle name="Normal 2 2 2 2 2 2 2 24 3 3 11" xfId="969"/>
    <cellStyle name="Normal 2 2 2 2 2 2 2 24 3 3 2" xfId="970"/>
    <cellStyle name="Normal 2 2 2 2 2 2 2 24 3 3 2 2" xfId="971"/>
    <cellStyle name="Normal 2 2 2 2 2 2 2 24 3 3 3" xfId="972"/>
    <cellStyle name="Normal 2 2 2 2 2 2 2 24 3 3 4" xfId="973"/>
    <cellStyle name="Normal 2 2 2 2 2 2 2 24 3 3 5" xfId="974"/>
    <cellStyle name="Normal 2 2 2 2 2 2 2 24 3 3 6" xfId="975"/>
    <cellStyle name="Normal 2 2 2 2 2 2 2 24 3 3 7" xfId="976"/>
    <cellStyle name="Normal 2 2 2 2 2 2 2 24 3 3 8" xfId="977"/>
    <cellStyle name="Normal 2 2 2 2 2 2 2 24 3 3 9" xfId="978"/>
    <cellStyle name="Normal 2 2 2 2 2 2 2 24 3 4" xfId="979"/>
    <cellStyle name="Normal 2 2 2 2 2 2 2 24 3 4 2" xfId="980"/>
    <cellStyle name="Normal 2 2 2 2 2 2 2 24 3 5" xfId="981"/>
    <cellStyle name="Normal 2 2 2 2 2 2 2 24 3 6" xfId="982"/>
    <cellStyle name="Normal 2 2 2 2 2 2 2 24 3 7" xfId="983"/>
    <cellStyle name="Normal 2 2 2 2 2 2 2 24 3 8" xfId="984"/>
    <cellStyle name="Normal 2 2 2 2 2 2 2 24 3 9" xfId="985"/>
    <cellStyle name="Normal 2 2 2 2 2 2 2 24 4" xfId="986"/>
    <cellStyle name="Normal 2 2 2 2 2 2 2 24 4 10" xfId="987"/>
    <cellStyle name="Normal 2 2 2 2 2 2 2 24 4 11" xfId="988"/>
    <cellStyle name="Normal 2 2 2 2 2 2 2 24 4 2" xfId="989"/>
    <cellStyle name="Normal 2 2 2 2 2 2 2 24 4 2 10" xfId="990"/>
    <cellStyle name="Normal 2 2 2 2 2 2 2 24 4 2 11" xfId="991"/>
    <cellStyle name="Normal 2 2 2 2 2 2 2 24 4 2 2" xfId="992"/>
    <cellStyle name="Normal 2 2 2 2 2 2 2 24 4 2 2 2" xfId="993"/>
    <cellStyle name="Normal 2 2 2 2 2 2 2 24 4 2 3" xfId="994"/>
    <cellStyle name="Normal 2 2 2 2 2 2 2 24 4 2 4" xfId="995"/>
    <cellStyle name="Normal 2 2 2 2 2 2 2 24 4 2 5" xfId="996"/>
    <cellStyle name="Normal 2 2 2 2 2 2 2 24 4 2 6" xfId="997"/>
    <cellStyle name="Normal 2 2 2 2 2 2 2 24 4 2 7" xfId="998"/>
    <cellStyle name="Normal 2 2 2 2 2 2 2 24 4 2 8" xfId="999"/>
    <cellStyle name="Normal 2 2 2 2 2 2 2 24 4 2 9" xfId="1000"/>
    <cellStyle name="Normal 2 2 2 2 2 2 2 24 4 3" xfId="1001"/>
    <cellStyle name="Normal 2 2 2 2 2 2 2 24 4 3 2" xfId="1002"/>
    <cellStyle name="Normal 2 2 2 2 2 2 2 24 4 4" xfId="1003"/>
    <cellStyle name="Normal 2 2 2 2 2 2 2 24 4 5" xfId="1004"/>
    <cellStyle name="Normal 2 2 2 2 2 2 2 24 4 6" xfId="1005"/>
    <cellStyle name="Normal 2 2 2 2 2 2 2 24 4 7" xfId="1006"/>
    <cellStyle name="Normal 2 2 2 2 2 2 2 24 4 8" xfId="1007"/>
    <cellStyle name="Normal 2 2 2 2 2 2 2 24 4 9" xfId="1008"/>
    <cellStyle name="Normal 2 2 2 2 2 2 2 24 5" xfId="1009"/>
    <cellStyle name="Normal 2 2 2 2 2 2 2 24 5 2" xfId="1010"/>
    <cellStyle name="Normal 2 2 2 2 2 2 2 24 6" xfId="1011"/>
    <cellStyle name="Normal 2 2 2 2 2 2 2 24 7" xfId="1012"/>
    <cellStyle name="Normal 2 2 2 2 2 2 2 24 8" xfId="1013"/>
    <cellStyle name="Normal 2 2 2 2 2 2 2 24 9" xfId="1014"/>
    <cellStyle name="Normal 2 2 2 2 2 2 2 25" xfId="1015"/>
    <cellStyle name="Normal 2 2 2 2 2 2 2 25 10" xfId="1016"/>
    <cellStyle name="Normal 2 2 2 2 2 2 2 25 11" xfId="1017"/>
    <cellStyle name="Normal 2 2 2 2 2 2 2 25 12" xfId="1018"/>
    <cellStyle name="Normal 2 2 2 2 2 2 2 25 13" xfId="1019"/>
    <cellStyle name="Normal 2 2 2 2 2 2 2 25 2" xfId="1020"/>
    <cellStyle name="Normal 2 2 2 2 2 2 2 25 2 10" xfId="1021"/>
    <cellStyle name="Normal 2 2 2 2 2 2 2 25 2 11" xfId="1022"/>
    <cellStyle name="Normal 2 2 2 2 2 2 2 25 2 12" xfId="1023"/>
    <cellStyle name="Normal 2 2 2 2 2 2 2 25 2 2" xfId="1024"/>
    <cellStyle name="Normal 2 2 2 2 2 2 2 25 2 2 10" xfId="1025"/>
    <cellStyle name="Normal 2 2 2 2 2 2 2 25 2 2 11" xfId="1026"/>
    <cellStyle name="Normal 2 2 2 2 2 2 2 25 2 2 12" xfId="1027"/>
    <cellStyle name="Normal 2 2 2 2 2 2 2 25 2 2 2" xfId="1028"/>
    <cellStyle name="Normal 2 2 2 2 2 2 2 25 2 2 2 10" xfId="1029"/>
    <cellStyle name="Normal 2 2 2 2 2 2 2 25 2 2 2 11" xfId="1030"/>
    <cellStyle name="Normal 2 2 2 2 2 2 2 25 2 2 2 2" xfId="1031"/>
    <cellStyle name="Normal 2 2 2 2 2 2 2 25 2 2 2 2 10" xfId="1032"/>
    <cellStyle name="Normal 2 2 2 2 2 2 2 25 2 2 2 2 11" xfId="1033"/>
    <cellStyle name="Normal 2 2 2 2 2 2 2 25 2 2 2 2 2" xfId="1034"/>
    <cellStyle name="Normal 2 2 2 2 2 2 2 25 2 2 2 2 2 2" xfId="1035"/>
    <cellStyle name="Normal 2 2 2 2 2 2 2 25 2 2 2 2 3" xfId="1036"/>
    <cellStyle name="Normal 2 2 2 2 2 2 2 25 2 2 2 2 4" xfId="1037"/>
    <cellStyle name="Normal 2 2 2 2 2 2 2 25 2 2 2 2 5" xfId="1038"/>
    <cellStyle name="Normal 2 2 2 2 2 2 2 25 2 2 2 2 6" xfId="1039"/>
    <cellStyle name="Normal 2 2 2 2 2 2 2 25 2 2 2 2 7" xfId="1040"/>
    <cellStyle name="Normal 2 2 2 2 2 2 2 25 2 2 2 2 8" xfId="1041"/>
    <cellStyle name="Normal 2 2 2 2 2 2 2 25 2 2 2 2 9" xfId="1042"/>
    <cellStyle name="Normal 2 2 2 2 2 2 2 25 2 2 2 3" xfId="1043"/>
    <cellStyle name="Normal 2 2 2 2 2 2 2 25 2 2 2 3 2" xfId="1044"/>
    <cellStyle name="Normal 2 2 2 2 2 2 2 25 2 2 2 4" xfId="1045"/>
    <cellStyle name="Normal 2 2 2 2 2 2 2 25 2 2 2 5" xfId="1046"/>
    <cellStyle name="Normal 2 2 2 2 2 2 2 25 2 2 2 6" xfId="1047"/>
    <cellStyle name="Normal 2 2 2 2 2 2 2 25 2 2 2 7" xfId="1048"/>
    <cellStyle name="Normal 2 2 2 2 2 2 2 25 2 2 2 8" xfId="1049"/>
    <cellStyle name="Normal 2 2 2 2 2 2 2 25 2 2 2 9" xfId="1050"/>
    <cellStyle name="Normal 2 2 2 2 2 2 2 25 2 2 3" xfId="1051"/>
    <cellStyle name="Normal 2 2 2 2 2 2 2 25 2 2 3 2" xfId="1052"/>
    <cellStyle name="Normal 2 2 2 2 2 2 2 25 2 2 4" xfId="1053"/>
    <cellStyle name="Normal 2 2 2 2 2 2 2 25 2 2 5" xfId="1054"/>
    <cellStyle name="Normal 2 2 2 2 2 2 2 25 2 2 6" xfId="1055"/>
    <cellStyle name="Normal 2 2 2 2 2 2 2 25 2 2 7" xfId="1056"/>
    <cellStyle name="Normal 2 2 2 2 2 2 2 25 2 2 8" xfId="1057"/>
    <cellStyle name="Normal 2 2 2 2 2 2 2 25 2 2 9" xfId="1058"/>
    <cellStyle name="Normal 2 2 2 2 2 2 2 25 2 3" xfId="1059"/>
    <cellStyle name="Normal 2 2 2 2 2 2 2 25 2 3 10" xfId="1060"/>
    <cellStyle name="Normal 2 2 2 2 2 2 2 25 2 3 11" xfId="1061"/>
    <cellStyle name="Normal 2 2 2 2 2 2 2 25 2 3 2" xfId="1062"/>
    <cellStyle name="Normal 2 2 2 2 2 2 2 25 2 3 2 2" xfId="1063"/>
    <cellStyle name="Normal 2 2 2 2 2 2 2 25 2 3 3" xfId="1064"/>
    <cellStyle name="Normal 2 2 2 2 2 2 2 25 2 3 4" xfId="1065"/>
    <cellStyle name="Normal 2 2 2 2 2 2 2 25 2 3 5" xfId="1066"/>
    <cellStyle name="Normal 2 2 2 2 2 2 2 25 2 3 6" xfId="1067"/>
    <cellStyle name="Normal 2 2 2 2 2 2 2 25 2 3 7" xfId="1068"/>
    <cellStyle name="Normal 2 2 2 2 2 2 2 25 2 3 8" xfId="1069"/>
    <cellStyle name="Normal 2 2 2 2 2 2 2 25 2 3 9" xfId="1070"/>
    <cellStyle name="Normal 2 2 2 2 2 2 2 25 2 4" xfId="1071"/>
    <cellStyle name="Normal 2 2 2 2 2 2 2 25 2 4 2" xfId="1072"/>
    <cellStyle name="Normal 2 2 2 2 2 2 2 25 2 5" xfId="1073"/>
    <cellStyle name="Normal 2 2 2 2 2 2 2 25 2 6" xfId="1074"/>
    <cellStyle name="Normal 2 2 2 2 2 2 2 25 2 7" xfId="1075"/>
    <cellStyle name="Normal 2 2 2 2 2 2 2 25 2 8" xfId="1076"/>
    <cellStyle name="Normal 2 2 2 2 2 2 2 25 2 9" xfId="1077"/>
    <cellStyle name="Normal 2 2 2 2 2 2 2 25 3" xfId="1078"/>
    <cellStyle name="Normal 2 2 2 2 2 2 2 25 3 10" xfId="1079"/>
    <cellStyle name="Normal 2 2 2 2 2 2 2 25 3 11" xfId="1080"/>
    <cellStyle name="Normal 2 2 2 2 2 2 2 25 3 2" xfId="1081"/>
    <cellStyle name="Normal 2 2 2 2 2 2 2 25 3 2 10" xfId="1082"/>
    <cellStyle name="Normal 2 2 2 2 2 2 2 25 3 2 11" xfId="1083"/>
    <cellStyle name="Normal 2 2 2 2 2 2 2 25 3 2 2" xfId="1084"/>
    <cellStyle name="Normal 2 2 2 2 2 2 2 25 3 2 2 2" xfId="1085"/>
    <cellStyle name="Normal 2 2 2 2 2 2 2 25 3 2 3" xfId="1086"/>
    <cellStyle name="Normal 2 2 2 2 2 2 2 25 3 2 4" xfId="1087"/>
    <cellStyle name="Normal 2 2 2 2 2 2 2 25 3 2 5" xfId="1088"/>
    <cellStyle name="Normal 2 2 2 2 2 2 2 25 3 2 6" xfId="1089"/>
    <cellStyle name="Normal 2 2 2 2 2 2 2 25 3 2 7" xfId="1090"/>
    <cellStyle name="Normal 2 2 2 2 2 2 2 25 3 2 8" xfId="1091"/>
    <cellStyle name="Normal 2 2 2 2 2 2 2 25 3 2 9" xfId="1092"/>
    <cellStyle name="Normal 2 2 2 2 2 2 2 25 3 3" xfId="1093"/>
    <cellStyle name="Normal 2 2 2 2 2 2 2 25 3 3 2" xfId="1094"/>
    <cellStyle name="Normal 2 2 2 2 2 2 2 25 3 4" xfId="1095"/>
    <cellStyle name="Normal 2 2 2 2 2 2 2 25 3 5" xfId="1096"/>
    <cellStyle name="Normal 2 2 2 2 2 2 2 25 3 6" xfId="1097"/>
    <cellStyle name="Normal 2 2 2 2 2 2 2 25 3 7" xfId="1098"/>
    <cellStyle name="Normal 2 2 2 2 2 2 2 25 3 8" xfId="1099"/>
    <cellStyle name="Normal 2 2 2 2 2 2 2 25 3 9" xfId="1100"/>
    <cellStyle name="Normal 2 2 2 2 2 2 2 25 4" xfId="1101"/>
    <cellStyle name="Normal 2 2 2 2 2 2 2 25 4 2" xfId="1102"/>
    <cellStyle name="Normal 2 2 2 2 2 2 2 25 5" xfId="1103"/>
    <cellStyle name="Normal 2 2 2 2 2 2 2 25 6" xfId="1104"/>
    <cellStyle name="Normal 2 2 2 2 2 2 2 25 7" xfId="1105"/>
    <cellStyle name="Normal 2 2 2 2 2 2 2 25 8" xfId="1106"/>
    <cellStyle name="Normal 2 2 2 2 2 2 2 25 9" xfId="1107"/>
    <cellStyle name="Normal 2 2 2 2 2 2 2 26" xfId="1108"/>
    <cellStyle name="Normal 2 2 2 2 2 2 2 26 10" xfId="1109"/>
    <cellStyle name="Normal 2 2 2 2 2 2 2 26 11" xfId="1110"/>
    <cellStyle name="Normal 2 2 2 2 2 2 2 26 12" xfId="1111"/>
    <cellStyle name="Normal 2 2 2 2 2 2 2 26 2" xfId="1112"/>
    <cellStyle name="Normal 2 2 2 2 2 2 2 26 2 10" xfId="1113"/>
    <cellStyle name="Normal 2 2 2 2 2 2 2 26 2 11" xfId="1114"/>
    <cellStyle name="Normal 2 2 2 2 2 2 2 26 2 2" xfId="1115"/>
    <cellStyle name="Normal 2 2 2 2 2 2 2 26 2 2 10" xfId="1116"/>
    <cellStyle name="Normal 2 2 2 2 2 2 2 26 2 2 11" xfId="1117"/>
    <cellStyle name="Normal 2 2 2 2 2 2 2 26 2 2 2" xfId="1118"/>
    <cellStyle name="Normal 2 2 2 2 2 2 2 26 2 2 2 2" xfId="1119"/>
    <cellStyle name="Normal 2 2 2 2 2 2 2 26 2 2 3" xfId="1120"/>
    <cellStyle name="Normal 2 2 2 2 2 2 2 26 2 2 4" xfId="1121"/>
    <cellStyle name="Normal 2 2 2 2 2 2 2 26 2 2 5" xfId="1122"/>
    <cellStyle name="Normal 2 2 2 2 2 2 2 26 2 2 6" xfId="1123"/>
    <cellStyle name="Normal 2 2 2 2 2 2 2 26 2 2 7" xfId="1124"/>
    <cellStyle name="Normal 2 2 2 2 2 2 2 26 2 2 8" xfId="1125"/>
    <cellStyle name="Normal 2 2 2 2 2 2 2 26 2 2 9" xfId="1126"/>
    <cellStyle name="Normal 2 2 2 2 2 2 2 26 2 3" xfId="1127"/>
    <cellStyle name="Normal 2 2 2 2 2 2 2 26 2 3 2" xfId="1128"/>
    <cellStyle name="Normal 2 2 2 2 2 2 2 26 2 4" xfId="1129"/>
    <cellStyle name="Normal 2 2 2 2 2 2 2 26 2 5" xfId="1130"/>
    <cellStyle name="Normal 2 2 2 2 2 2 2 26 2 6" xfId="1131"/>
    <cellStyle name="Normal 2 2 2 2 2 2 2 26 2 7" xfId="1132"/>
    <cellStyle name="Normal 2 2 2 2 2 2 2 26 2 8" xfId="1133"/>
    <cellStyle name="Normal 2 2 2 2 2 2 2 26 2 9" xfId="1134"/>
    <cellStyle name="Normal 2 2 2 2 2 2 2 26 3" xfId="1135"/>
    <cellStyle name="Normal 2 2 2 2 2 2 2 26 3 2" xfId="1136"/>
    <cellStyle name="Normal 2 2 2 2 2 2 2 26 4" xfId="1137"/>
    <cellStyle name="Normal 2 2 2 2 2 2 2 26 5" xfId="1138"/>
    <cellStyle name="Normal 2 2 2 2 2 2 2 26 6" xfId="1139"/>
    <cellStyle name="Normal 2 2 2 2 2 2 2 26 7" xfId="1140"/>
    <cellStyle name="Normal 2 2 2 2 2 2 2 26 8" xfId="1141"/>
    <cellStyle name="Normal 2 2 2 2 2 2 2 26 9" xfId="1142"/>
    <cellStyle name="Normal 2 2 2 2 2 2 2 27" xfId="1143"/>
    <cellStyle name="Normal 2 2 2 2 2 2 2 27 10" xfId="1144"/>
    <cellStyle name="Normal 2 2 2 2 2 2 2 27 11" xfId="1145"/>
    <cellStyle name="Normal 2 2 2 2 2 2 2 27 2" xfId="1146"/>
    <cellStyle name="Normal 2 2 2 2 2 2 2 27 2 2" xfId="1147"/>
    <cellStyle name="Normal 2 2 2 2 2 2 2 27 3" xfId="1148"/>
    <cellStyle name="Normal 2 2 2 2 2 2 2 27 4" xfId="1149"/>
    <cellStyle name="Normal 2 2 2 2 2 2 2 27 5" xfId="1150"/>
    <cellStyle name="Normal 2 2 2 2 2 2 2 27 6" xfId="1151"/>
    <cellStyle name="Normal 2 2 2 2 2 2 2 27 7" xfId="1152"/>
    <cellStyle name="Normal 2 2 2 2 2 2 2 27 8" xfId="1153"/>
    <cellStyle name="Normal 2 2 2 2 2 2 2 27 9" xfId="1154"/>
    <cellStyle name="Normal 2 2 2 2 2 2 2 28" xfId="1155"/>
    <cellStyle name="Normal 2 2 2 2 2 2 2 28 2" xfId="1156"/>
    <cellStyle name="Normal 2 2 2 2 2 2 2 29" xfId="1157"/>
    <cellStyle name="Normal 2 2 2 2 2 2 2 3" xfId="1158"/>
    <cellStyle name="Normal 2 2 2 2 2 2 2 30" xfId="1159"/>
    <cellStyle name="Normal 2 2 2 2 2 2 2 31" xfId="1160"/>
    <cellStyle name="Normal 2 2 2 2 2 2 2 32" xfId="1161"/>
    <cellStyle name="Normal 2 2 2 2 2 2 2 33" xfId="1162"/>
    <cellStyle name="Normal 2 2 2 2 2 2 2 34" xfId="1163"/>
    <cellStyle name="Normal 2 2 2 2 2 2 2 35" xfId="1164"/>
    <cellStyle name="Normal 2 2 2 2 2 2 2 36" xfId="1165"/>
    <cellStyle name="Normal 2 2 2 2 2 2 2 37" xfId="1166"/>
    <cellStyle name="Normal 2 2 2 2 2 2 2 37 2" xfId="1167"/>
    <cellStyle name="Normal 2 2 2 2 2 2 2 38" xfId="1168"/>
    <cellStyle name="Normal 2 2 2 2 2 2 2 39" xfId="1169"/>
    <cellStyle name="Normal 2 2 2 2 2 2 2 4" xfId="1170"/>
    <cellStyle name="Normal 2 2 2 2 2 2 2 4 2" xfId="1171"/>
    <cellStyle name="Normal 2 2 2 2 2 2 2 4 2 2" xfId="1172"/>
    <cellStyle name="Normal 2 2 2 2 2 2 2 40" xfId="1173"/>
    <cellStyle name="Normal 2 2 2 2 2 2 2 41" xfId="1174"/>
    <cellStyle name="Normal 2 2 2 2 2 2 2 41 2" xfId="1175"/>
    <cellStyle name="Normal 2 2 2 2 2 2 2 42" xfId="1176"/>
    <cellStyle name="Normal 2 2 2 2 2 2 2 43" xfId="1177"/>
    <cellStyle name="Normal 2 2 2 2 2 2 2 44" xfId="1178"/>
    <cellStyle name="Normal 2 2 2 2 2 2 2 5" xfId="1179"/>
    <cellStyle name="Normal 2 2 2 2 2 2 2 5 2" xfId="1180"/>
    <cellStyle name="Normal 2 2 2 2 2 2 2 6" xfId="1181"/>
    <cellStyle name="Normal 2 2 2 2 2 2 2 7" xfId="1182"/>
    <cellStyle name="Normal 2 2 2 2 2 2 2 8" xfId="1183"/>
    <cellStyle name="Normal 2 2 2 2 2 2 2 9" xfId="1184"/>
    <cellStyle name="Normal 2 2 2 2 2 2 20" xfId="1185"/>
    <cellStyle name="Normal 2 2 2 2 2 2 21" xfId="1186"/>
    <cellStyle name="Normal 2 2 2 2 2 2 22" xfId="1187"/>
    <cellStyle name="Normal 2 2 2 2 2 2 23" xfId="1188"/>
    <cellStyle name="Normal 2 2 2 2 2 2 23 10" xfId="1189"/>
    <cellStyle name="Normal 2 2 2 2 2 2 23 11" xfId="1190"/>
    <cellStyle name="Normal 2 2 2 2 2 2 23 12" xfId="1191"/>
    <cellStyle name="Normal 2 2 2 2 2 2 23 13" xfId="1192"/>
    <cellStyle name="Normal 2 2 2 2 2 2 23 14" xfId="1193"/>
    <cellStyle name="Normal 2 2 2 2 2 2 23 15" xfId="1194"/>
    <cellStyle name="Normal 2 2 2 2 2 2 23 2" xfId="1195"/>
    <cellStyle name="Normal 2 2 2 2 2 2 23 2 10" xfId="1196"/>
    <cellStyle name="Normal 2 2 2 2 2 2 23 2 11" xfId="1197"/>
    <cellStyle name="Normal 2 2 2 2 2 2 23 2 12" xfId="1198"/>
    <cellStyle name="Normal 2 2 2 2 2 2 23 2 13" xfId="1199"/>
    <cellStyle name="Normal 2 2 2 2 2 2 23 2 14" xfId="1200"/>
    <cellStyle name="Normal 2 2 2 2 2 2 23 2 2" xfId="1201"/>
    <cellStyle name="Normal 2 2 2 2 2 2 23 2 2 10" xfId="1202"/>
    <cellStyle name="Normal 2 2 2 2 2 2 23 2 2 11" xfId="1203"/>
    <cellStyle name="Normal 2 2 2 2 2 2 23 2 2 12" xfId="1204"/>
    <cellStyle name="Normal 2 2 2 2 2 2 23 2 2 13" xfId="1205"/>
    <cellStyle name="Normal 2 2 2 2 2 2 23 2 2 14" xfId="1206"/>
    <cellStyle name="Normal 2 2 2 2 2 2 23 2 2 2" xfId="1207"/>
    <cellStyle name="Normal 2 2 2 2 2 2 23 2 2 2 10" xfId="1208"/>
    <cellStyle name="Normal 2 2 2 2 2 2 23 2 2 2 11" xfId="1209"/>
    <cellStyle name="Normal 2 2 2 2 2 2 23 2 2 2 12" xfId="1210"/>
    <cellStyle name="Normal 2 2 2 2 2 2 23 2 2 2 13" xfId="1211"/>
    <cellStyle name="Normal 2 2 2 2 2 2 23 2 2 2 2" xfId="1212"/>
    <cellStyle name="Normal 2 2 2 2 2 2 23 2 2 2 2 10" xfId="1213"/>
    <cellStyle name="Normal 2 2 2 2 2 2 23 2 2 2 2 11" xfId="1214"/>
    <cellStyle name="Normal 2 2 2 2 2 2 23 2 2 2 2 12" xfId="1215"/>
    <cellStyle name="Normal 2 2 2 2 2 2 23 2 2 2 2 13" xfId="1216"/>
    <cellStyle name="Normal 2 2 2 2 2 2 23 2 2 2 2 2" xfId="1217"/>
    <cellStyle name="Normal 2 2 2 2 2 2 23 2 2 2 2 2 10" xfId="1218"/>
    <cellStyle name="Normal 2 2 2 2 2 2 23 2 2 2 2 2 11" xfId="1219"/>
    <cellStyle name="Normal 2 2 2 2 2 2 23 2 2 2 2 2 12" xfId="1220"/>
    <cellStyle name="Normal 2 2 2 2 2 2 23 2 2 2 2 2 2" xfId="1221"/>
    <cellStyle name="Normal 2 2 2 2 2 2 23 2 2 2 2 2 2 10" xfId="1222"/>
    <cellStyle name="Normal 2 2 2 2 2 2 23 2 2 2 2 2 2 11" xfId="1223"/>
    <cellStyle name="Normal 2 2 2 2 2 2 23 2 2 2 2 2 2 12" xfId="1224"/>
    <cellStyle name="Normal 2 2 2 2 2 2 23 2 2 2 2 2 2 2" xfId="1225"/>
    <cellStyle name="Normal 2 2 2 2 2 2 23 2 2 2 2 2 2 2 10" xfId="1226"/>
    <cellStyle name="Normal 2 2 2 2 2 2 23 2 2 2 2 2 2 2 11" xfId="1227"/>
    <cellStyle name="Normal 2 2 2 2 2 2 23 2 2 2 2 2 2 2 2" xfId="1228"/>
    <cellStyle name="Normal 2 2 2 2 2 2 23 2 2 2 2 2 2 2 2 10" xfId="1229"/>
    <cellStyle name="Normal 2 2 2 2 2 2 23 2 2 2 2 2 2 2 2 11" xfId="1230"/>
    <cellStyle name="Normal 2 2 2 2 2 2 23 2 2 2 2 2 2 2 2 2" xfId="1231"/>
    <cellStyle name="Normal 2 2 2 2 2 2 23 2 2 2 2 2 2 2 2 2 2" xfId="1232"/>
    <cellStyle name="Normal 2 2 2 2 2 2 23 2 2 2 2 2 2 2 2 3" xfId="1233"/>
    <cellStyle name="Normal 2 2 2 2 2 2 23 2 2 2 2 2 2 2 2 4" xfId="1234"/>
    <cellStyle name="Normal 2 2 2 2 2 2 23 2 2 2 2 2 2 2 2 5" xfId="1235"/>
    <cellStyle name="Normal 2 2 2 2 2 2 23 2 2 2 2 2 2 2 2 6" xfId="1236"/>
    <cellStyle name="Normal 2 2 2 2 2 2 23 2 2 2 2 2 2 2 2 7" xfId="1237"/>
    <cellStyle name="Normal 2 2 2 2 2 2 23 2 2 2 2 2 2 2 2 8" xfId="1238"/>
    <cellStyle name="Normal 2 2 2 2 2 2 23 2 2 2 2 2 2 2 2 9" xfId="1239"/>
    <cellStyle name="Normal 2 2 2 2 2 2 23 2 2 2 2 2 2 2 3" xfId="1240"/>
    <cellStyle name="Normal 2 2 2 2 2 2 23 2 2 2 2 2 2 2 3 2" xfId="1241"/>
    <cellStyle name="Normal 2 2 2 2 2 2 23 2 2 2 2 2 2 2 4" xfId="1242"/>
    <cellStyle name="Normal 2 2 2 2 2 2 23 2 2 2 2 2 2 2 5" xfId="1243"/>
    <cellStyle name="Normal 2 2 2 2 2 2 23 2 2 2 2 2 2 2 6" xfId="1244"/>
    <cellStyle name="Normal 2 2 2 2 2 2 23 2 2 2 2 2 2 2 7" xfId="1245"/>
    <cellStyle name="Normal 2 2 2 2 2 2 23 2 2 2 2 2 2 2 8" xfId="1246"/>
    <cellStyle name="Normal 2 2 2 2 2 2 23 2 2 2 2 2 2 2 9" xfId="1247"/>
    <cellStyle name="Normal 2 2 2 2 2 2 23 2 2 2 2 2 2 3" xfId="1248"/>
    <cellStyle name="Normal 2 2 2 2 2 2 23 2 2 2 2 2 2 3 2" xfId="1249"/>
    <cellStyle name="Normal 2 2 2 2 2 2 23 2 2 2 2 2 2 4" xfId="1250"/>
    <cellStyle name="Normal 2 2 2 2 2 2 23 2 2 2 2 2 2 5" xfId="1251"/>
    <cellStyle name="Normal 2 2 2 2 2 2 23 2 2 2 2 2 2 6" xfId="1252"/>
    <cellStyle name="Normal 2 2 2 2 2 2 23 2 2 2 2 2 2 7" xfId="1253"/>
    <cellStyle name="Normal 2 2 2 2 2 2 23 2 2 2 2 2 2 8" xfId="1254"/>
    <cellStyle name="Normal 2 2 2 2 2 2 23 2 2 2 2 2 2 9" xfId="1255"/>
    <cellStyle name="Normal 2 2 2 2 2 2 23 2 2 2 2 2 3" xfId="1256"/>
    <cellStyle name="Normal 2 2 2 2 2 2 23 2 2 2 2 2 3 10" xfId="1257"/>
    <cellStyle name="Normal 2 2 2 2 2 2 23 2 2 2 2 2 3 11" xfId="1258"/>
    <cellStyle name="Normal 2 2 2 2 2 2 23 2 2 2 2 2 3 2" xfId="1259"/>
    <cellStyle name="Normal 2 2 2 2 2 2 23 2 2 2 2 2 3 2 2" xfId="1260"/>
    <cellStyle name="Normal 2 2 2 2 2 2 23 2 2 2 2 2 3 3" xfId="1261"/>
    <cellStyle name="Normal 2 2 2 2 2 2 23 2 2 2 2 2 3 4" xfId="1262"/>
    <cellStyle name="Normal 2 2 2 2 2 2 23 2 2 2 2 2 3 5" xfId="1263"/>
    <cellStyle name="Normal 2 2 2 2 2 2 23 2 2 2 2 2 3 6" xfId="1264"/>
    <cellStyle name="Normal 2 2 2 2 2 2 23 2 2 2 2 2 3 7" xfId="1265"/>
    <cellStyle name="Normal 2 2 2 2 2 2 23 2 2 2 2 2 3 8" xfId="1266"/>
    <cellStyle name="Normal 2 2 2 2 2 2 23 2 2 2 2 2 3 9" xfId="1267"/>
    <cellStyle name="Normal 2 2 2 2 2 2 23 2 2 2 2 2 4" xfId="1268"/>
    <cellStyle name="Normal 2 2 2 2 2 2 23 2 2 2 2 2 4 2" xfId="1269"/>
    <cellStyle name="Normal 2 2 2 2 2 2 23 2 2 2 2 2 5" xfId="1270"/>
    <cellStyle name="Normal 2 2 2 2 2 2 23 2 2 2 2 2 6" xfId="1271"/>
    <cellStyle name="Normal 2 2 2 2 2 2 23 2 2 2 2 2 7" xfId="1272"/>
    <cellStyle name="Normal 2 2 2 2 2 2 23 2 2 2 2 2 8" xfId="1273"/>
    <cellStyle name="Normal 2 2 2 2 2 2 23 2 2 2 2 2 9" xfId="1274"/>
    <cellStyle name="Normal 2 2 2 2 2 2 23 2 2 2 2 3" xfId="1275"/>
    <cellStyle name="Normal 2 2 2 2 2 2 23 2 2 2 2 3 10" xfId="1276"/>
    <cellStyle name="Normal 2 2 2 2 2 2 23 2 2 2 2 3 11" xfId="1277"/>
    <cellStyle name="Normal 2 2 2 2 2 2 23 2 2 2 2 3 2" xfId="1278"/>
    <cellStyle name="Normal 2 2 2 2 2 2 23 2 2 2 2 3 2 10" xfId="1279"/>
    <cellStyle name="Normal 2 2 2 2 2 2 23 2 2 2 2 3 2 11" xfId="1280"/>
    <cellStyle name="Normal 2 2 2 2 2 2 23 2 2 2 2 3 2 2" xfId="1281"/>
    <cellStyle name="Normal 2 2 2 2 2 2 23 2 2 2 2 3 2 2 2" xfId="1282"/>
    <cellStyle name="Normal 2 2 2 2 2 2 23 2 2 2 2 3 2 3" xfId="1283"/>
    <cellStyle name="Normal 2 2 2 2 2 2 23 2 2 2 2 3 2 4" xfId="1284"/>
    <cellStyle name="Normal 2 2 2 2 2 2 23 2 2 2 2 3 2 5" xfId="1285"/>
    <cellStyle name="Normal 2 2 2 2 2 2 23 2 2 2 2 3 2 6" xfId="1286"/>
    <cellStyle name="Normal 2 2 2 2 2 2 23 2 2 2 2 3 2 7" xfId="1287"/>
    <cellStyle name="Normal 2 2 2 2 2 2 23 2 2 2 2 3 2 8" xfId="1288"/>
    <cellStyle name="Normal 2 2 2 2 2 2 23 2 2 2 2 3 2 9" xfId="1289"/>
    <cellStyle name="Normal 2 2 2 2 2 2 23 2 2 2 2 3 3" xfId="1290"/>
    <cellStyle name="Normal 2 2 2 2 2 2 23 2 2 2 2 3 3 2" xfId="1291"/>
    <cellStyle name="Normal 2 2 2 2 2 2 23 2 2 2 2 3 4" xfId="1292"/>
    <cellStyle name="Normal 2 2 2 2 2 2 23 2 2 2 2 3 5" xfId="1293"/>
    <cellStyle name="Normal 2 2 2 2 2 2 23 2 2 2 2 3 6" xfId="1294"/>
    <cellStyle name="Normal 2 2 2 2 2 2 23 2 2 2 2 3 7" xfId="1295"/>
    <cellStyle name="Normal 2 2 2 2 2 2 23 2 2 2 2 3 8" xfId="1296"/>
    <cellStyle name="Normal 2 2 2 2 2 2 23 2 2 2 2 3 9" xfId="1297"/>
    <cellStyle name="Normal 2 2 2 2 2 2 23 2 2 2 2 4" xfId="1298"/>
    <cellStyle name="Normal 2 2 2 2 2 2 23 2 2 2 2 4 2" xfId="1299"/>
    <cellStyle name="Normal 2 2 2 2 2 2 23 2 2 2 2 5" xfId="1300"/>
    <cellStyle name="Normal 2 2 2 2 2 2 23 2 2 2 2 6" xfId="1301"/>
    <cellStyle name="Normal 2 2 2 2 2 2 23 2 2 2 2 7" xfId="1302"/>
    <cellStyle name="Normal 2 2 2 2 2 2 23 2 2 2 2 8" xfId="1303"/>
    <cellStyle name="Normal 2 2 2 2 2 2 23 2 2 2 2 9" xfId="1304"/>
    <cellStyle name="Normal 2 2 2 2 2 2 23 2 2 2 3" xfId="1305"/>
    <cellStyle name="Normal 2 2 2 2 2 2 23 2 2 2 3 10" xfId="1306"/>
    <cellStyle name="Normal 2 2 2 2 2 2 23 2 2 2 3 11" xfId="1307"/>
    <cellStyle name="Normal 2 2 2 2 2 2 23 2 2 2 3 12" xfId="1308"/>
    <cellStyle name="Normal 2 2 2 2 2 2 23 2 2 2 3 2" xfId="1309"/>
    <cellStyle name="Normal 2 2 2 2 2 2 23 2 2 2 3 2 10" xfId="1310"/>
    <cellStyle name="Normal 2 2 2 2 2 2 23 2 2 2 3 2 11" xfId="1311"/>
    <cellStyle name="Normal 2 2 2 2 2 2 23 2 2 2 3 2 2" xfId="1312"/>
    <cellStyle name="Normal 2 2 2 2 2 2 23 2 2 2 3 2 2 10" xfId="1313"/>
    <cellStyle name="Normal 2 2 2 2 2 2 23 2 2 2 3 2 2 11" xfId="1314"/>
    <cellStyle name="Normal 2 2 2 2 2 2 23 2 2 2 3 2 2 2" xfId="1315"/>
    <cellStyle name="Normal 2 2 2 2 2 2 23 2 2 2 3 2 2 2 2" xfId="1316"/>
    <cellStyle name="Normal 2 2 2 2 2 2 23 2 2 2 3 2 2 3" xfId="1317"/>
    <cellStyle name="Normal 2 2 2 2 2 2 23 2 2 2 3 2 2 4" xfId="1318"/>
    <cellStyle name="Normal 2 2 2 2 2 2 23 2 2 2 3 2 2 5" xfId="1319"/>
    <cellStyle name="Normal 2 2 2 2 2 2 23 2 2 2 3 2 2 6" xfId="1320"/>
    <cellStyle name="Normal 2 2 2 2 2 2 23 2 2 2 3 2 2 7" xfId="1321"/>
    <cellStyle name="Normal 2 2 2 2 2 2 23 2 2 2 3 2 2 8" xfId="1322"/>
    <cellStyle name="Normal 2 2 2 2 2 2 23 2 2 2 3 2 2 9" xfId="1323"/>
    <cellStyle name="Normal 2 2 2 2 2 2 23 2 2 2 3 2 3" xfId="1324"/>
    <cellStyle name="Normal 2 2 2 2 2 2 23 2 2 2 3 2 3 2" xfId="1325"/>
    <cellStyle name="Normal 2 2 2 2 2 2 23 2 2 2 3 2 4" xfId="1326"/>
    <cellStyle name="Normal 2 2 2 2 2 2 23 2 2 2 3 2 5" xfId="1327"/>
    <cellStyle name="Normal 2 2 2 2 2 2 23 2 2 2 3 2 6" xfId="1328"/>
    <cellStyle name="Normal 2 2 2 2 2 2 23 2 2 2 3 2 7" xfId="1329"/>
    <cellStyle name="Normal 2 2 2 2 2 2 23 2 2 2 3 2 8" xfId="1330"/>
    <cellStyle name="Normal 2 2 2 2 2 2 23 2 2 2 3 2 9" xfId="1331"/>
    <cellStyle name="Normal 2 2 2 2 2 2 23 2 2 2 3 3" xfId="1332"/>
    <cellStyle name="Normal 2 2 2 2 2 2 23 2 2 2 3 3 2" xfId="1333"/>
    <cellStyle name="Normal 2 2 2 2 2 2 23 2 2 2 3 4" xfId="1334"/>
    <cellStyle name="Normal 2 2 2 2 2 2 23 2 2 2 3 5" xfId="1335"/>
    <cellStyle name="Normal 2 2 2 2 2 2 23 2 2 2 3 6" xfId="1336"/>
    <cellStyle name="Normal 2 2 2 2 2 2 23 2 2 2 3 7" xfId="1337"/>
    <cellStyle name="Normal 2 2 2 2 2 2 23 2 2 2 3 8" xfId="1338"/>
    <cellStyle name="Normal 2 2 2 2 2 2 23 2 2 2 3 9" xfId="1339"/>
    <cellStyle name="Normal 2 2 2 2 2 2 23 2 2 2 4" xfId="1340"/>
    <cellStyle name="Normal 2 2 2 2 2 2 23 2 2 2 4 10" xfId="1341"/>
    <cellStyle name="Normal 2 2 2 2 2 2 23 2 2 2 4 11" xfId="1342"/>
    <cellStyle name="Normal 2 2 2 2 2 2 23 2 2 2 4 2" xfId="1343"/>
    <cellStyle name="Normal 2 2 2 2 2 2 23 2 2 2 4 2 2" xfId="1344"/>
    <cellStyle name="Normal 2 2 2 2 2 2 23 2 2 2 4 3" xfId="1345"/>
    <cellStyle name="Normal 2 2 2 2 2 2 23 2 2 2 4 4" xfId="1346"/>
    <cellStyle name="Normal 2 2 2 2 2 2 23 2 2 2 4 5" xfId="1347"/>
    <cellStyle name="Normal 2 2 2 2 2 2 23 2 2 2 4 6" xfId="1348"/>
    <cellStyle name="Normal 2 2 2 2 2 2 23 2 2 2 4 7" xfId="1349"/>
    <cellStyle name="Normal 2 2 2 2 2 2 23 2 2 2 4 8" xfId="1350"/>
    <cellStyle name="Normal 2 2 2 2 2 2 23 2 2 2 4 9" xfId="1351"/>
    <cellStyle name="Normal 2 2 2 2 2 2 23 2 2 2 5" xfId="1352"/>
    <cellStyle name="Normal 2 2 2 2 2 2 23 2 2 2 5 2" xfId="1353"/>
    <cellStyle name="Normal 2 2 2 2 2 2 23 2 2 2 6" xfId="1354"/>
    <cellStyle name="Normal 2 2 2 2 2 2 23 2 2 2 7" xfId="1355"/>
    <cellStyle name="Normal 2 2 2 2 2 2 23 2 2 2 8" xfId="1356"/>
    <cellStyle name="Normal 2 2 2 2 2 2 23 2 2 2 9" xfId="1357"/>
    <cellStyle name="Normal 2 2 2 2 2 2 23 2 2 3" xfId="1358"/>
    <cellStyle name="Normal 2 2 2 2 2 2 23 2 2 3 10" xfId="1359"/>
    <cellStyle name="Normal 2 2 2 2 2 2 23 2 2 3 11" xfId="1360"/>
    <cellStyle name="Normal 2 2 2 2 2 2 23 2 2 3 12" xfId="1361"/>
    <cellStyle name="Normal 2 2 2 2 2 2 23 2 2 3 2" xfId="1362"/>
    <cellStyle name="Normal 2 2 2 2 2 2 23 2 2 3 2 10" xfId="1363"/>
    <cellStyle name="Normal 2 2 2 2 2 2 23 2 2 3 2 11" xfId="1364"/>
    <cellStyle name="Normal 2 2 2 2 2 2 23 2 2 3 2 12" xfId="1365"/>
    <cellStyle name="Normal 2 2 2 2 2 2 23 2 2 3 2 2" xfId="1366"/>
    <cellStyle name="Normal 2 2 2 2 2 2 23 2 2 3 2 2 10" xfId="1367"/>
    <cellStyle name="Normal 2 2 2 2 2 2 23 2 2 3 2 2 11" xfId="1368"/>
    <cellStyle name="Normal 2 2 2 2 2 2 23 2 2 3 2 2 2" xfId="1369"/>
    <cellStyle name="Normal 2 2 2 2 2 2 23 2 2 3 2 2 2 10" xfId="1370"/>
    <cellStyle name="Normal 2 2 2 2 2 2 23 2 2 3 2 2 2 11" xfId="1371"/>
    <cellStyle name="Normal 2 2 2 2 2 2 23 2 2 3 2 2 2 2" xfId="1372"/>
    <cellStyle name="Normal 2 2 2 2 2 2 23 2 2 3 2 2 2 2 2" xfId="1373"/>
    <cellStyle name="Normal 2 2 2 2 2 2 23 2 2 3 2 2 2 3" xfId="1374"/>
    <cellStyle name="Normal 2 2 2 2 2 2 23 2 2 3 2 2 2 4" xfId="1375"/>
    <cellStyle name="Normal 2 2 2 2 2 2 23 2 2 3 2 2 2 5" xfId="1376"/>
    <cellStyle name="Normal 2 2 2 2 2 2 23 2 2 3 2 2 2 6" xfId="1377"/>
    <cellStyle name="Normal 2 2 2 2 2 2 23 2 2 3 2 2 2 7" xfId="1378"/>
    <cellStyle name="Normal 2 2 2 2 2 2 23 2 2 3 2 2 2 8" xfId="1379"/>
    <cellStyle name="Normal 2 2 2 2 2 2 23 2 2 3 2 2 2 9" xfId="1380"/>
    <cellStyle name="Normal 2 2 2 2 2 2 23 2 2 3 2 2 3" xfId="1381"/>
    <cellStyle name="Normal 2 2 2 2 2 2 23 2 2 3 2 2 3 2" xfId="1382"/>
    <cellStyle name="Normal 2 2 2 2 2 2 23 2 2 3 2 2 4" xfId="1383"/>
    <cellStyle name="Normal 2 2 2 2 2 2 23 2 2 3 2 2 5" xfId="1384"/>
    <cellStyle name="Normal 2 2 2 2 2 2 23 2 2 3 2 2 6" xfId="1385"/>
    <cellStyle name="Normal 2 2 2 2 2 2 23 2 2 3 2 2 7" xfId="1386"/>
    <cellStyle name="Normal 2 2 2 2 2 2 23 2 2 3 2 2 8" xfId="1387"/>
    <cellStyle name="Normal 2 2 2 2 2 2 23 2 2 3 2 2 9" xfId="1388"/>
    <cellStyle name="Normal 2 2 2 2 2 2 23 2 2 3 2 3" xfId="1389"/>
    <cellStyle name="Normal 2 2 2 2 2 2 23 2 2 3 2 3 2" xfId="1390"/>
    <cellStyle name="Normal 2 2 2 2 2 2 23 2 2 3 2 4" xfId="1391"/>
    <cellStyle name="Normal 2 2 2 2 2 2 23 2 2 3 2 5" xfId="1392"/>
    <cellStyle name="Normal 2 2 2 2 2 2 23 2 2 3 2 6" xfId="1393"/>
    <cellStyle name="Normal 2 2 2 2 2 2 23 2 2 3 2 7" xfId="1394"/>
    <cellStyle name="Normal 2 2 2 2 2 2 23 2 2 3 2 8" xfId="1395"/>
    <cellStyle name="Normal 2 2 2 2 2 2 23 2 2 3 2 9" xfId="1396"/>
    <cellStyle name="Normal 2 2 2 2 2 2 23 2 2 3 3" xfId="1397"/>
    <cellStyle name="Normal 2 2 2 2 2 2 23 2 2 3 3 10" xfId="1398"/>
    <cellStyle name="Normal 2 2 2 2 2 2 23 2 2 3 3 11" xfId="1399"/>
    <cellStyle name="Normal 2 2 2 2 2 2 23 2 2 3 3 2" xfId="1400"/>
    <cellStyle name="Normal 2 2 2 2 2 2 23 2 2 3 3 2 2" xfId="1401"/>
    <cellStyle name="Normal 2 2 2 2 2 2 23 2 2 3 3 3" xfId="1402"/>
    <cellStyle name="Normal 2 2 2 2 2 2 23 2 2 3 3 4" xfId="1403"/>
    <cellStyle name="Normal 2 2 2 2 2 2 23 2 2 3 3 5" xfId="1404"/>
    <cellStyle name="Normal 2 2 2 2 2 2 23 2 2 3 3 6" xfId="1405"/>
    <cellStyle name="Normal 2 2 2 2 2 2 23 2 2 3 3 7" xfId="1406"/>
    <cellStyle name="Normal 2 2 2 2 2 2 23 2 2 3 3 8" xfId="1407"/>
    <cellStyle name="Normal 2 2 2 2 2 2 23 2 2 3 3 9" xfId="1408"/>
    <cellStyle name="Normal 2 2 2 2 2 2 23 2 2 3 4" xfId="1409"/>
    <cellStyle name="Normal 2 2 2 2 2 2 23 2 2 3 4 2" xfId="1410"/>
    <cellStyle name="Normal 2 2 2 2 2 2 23 2 2 3 5" xfId="1411"/>
    <cellStyle name="Normal 2 2 2 2 2 2 23 2 2 3 6" xfId="1412"/>
    <cellStyle name="Normal 2 2 2 2 2 2 23 2 2 3 7" xfId="1413"/>
    <cellStyle name="Normal 2 2 2 2 2 2 23 2 2 3 8" xfId="1414"/>
    <cellStyle name="Normal 2 2 2 2 2 2 23 2 2 3 9" xfId="1415"/>
    <cellStyle name="Normal 2 2 2 2 2 2 23 2 2 4" xfId="1416"/>
    <cellStyle name="Normal 2 2 2 2 2 2 23 2 2 4 10" xfId="1417"/>
    <cellStyle name="Normal 2 2 2 2 2 2 23 2 2 4 11" xfId="1418"/>
    <cellStyle name="Normal 2 2 2 2 2 2 23 2 2 4 2" xfId="1419"/>
    <cellStyle name="Normal 2 2 2 2 2 2 23 2 2 4 2 10" xfId="1420"/>
    <cellStyle name="Normal 2 2 2 2 2 2 23 2 2 4 2 11" xfId="1421"/>
    <cellStyle name="Normal 2 2 2 2 2 2 23 2 2 4 2 2" xfId="1422"/>
    <cellStyle name="Normal 2 2 2 2 2 2 23 2 2 4 2 2 2" xfId="1423"/>
    <cellStyle name="Normal 2 2 2 2 2 2 23 2 2 4 2 3" xfId="1424"/>
    <cellStyle name="Normal 2 2 2 2 2 2 23 2 2 4 2 4" xfId="1425"/>
    <cellStyle name="Normal 2 2 2 2 2 2 23 2 2 4 2 5" xfId="1426"/>
    <cellStyle name="Normal 2 2 2 2 2 2 23 2 2 4 2 6" xfId="1427"/>
    <cellStyle name="Normal 2 2 2 2 2 2 23 2 2 4 2 7" xfId="1428"/>
    <cellStyle name="Normal 2 2 2 2 2 2 23 2 2 4 2 8" xfId="1429"/>
    <cellStyle name="Normal 2 2 2 2 2 2 23 2 2 4 2 9" xfId="1430"/>
    <cellStyle name="Normal 2 2 2 2 2 2 23 2 2 4 3" xfId="1431"/>
    <cellStyle name="Normal 2 2 2 2 2 2 23 2 2 4 3 2" xfId="1432"/>
    <cellStyle name="Normal 2 2 2 2 2 2 23 2 2 4 4" xfId="1433"/>
    <cellStyle name="Normal 2 2 2 2 2 2 23 2 2 4 5" xfId="1434"/>
    <cellStyle name="Normal 2 2 2 2 2 2 23 2 2 4 6" xfId="1435"/>
    <cellStyle name="Normal 2 2 2 2 2 2 23 2 2 4 7" xfId="1436"/>
    <cellStyle name="Normal 2 2 2 2 2 2 23 2 2 4 8" xfId="1437"/>
    <cellStyle name="Normal 2 2 2 2 2 2 23 2 2 4 9" xfId="1438"/>
    <cellStyle name="Normal 2 2 2 2 2 2 23 2 2 5" xfId="1439"/>
    <cellStyle name="Normal 2 2 2 2 2 2 23 2 2 5 2" xfId="1440"/>
    <cellStyle name="Normal 2 2 2 2 2 2 23 2 2 6" xfId="1441"/>
    <cellStyle name="Normal 2 2 2 2 2 2 23 2 2 7" xfId="1442"/>
    <cellStyle name="Normal 2 2 2 2 2 2 23 2 2 8" xfId="1443"/>
    <cellStyle name="Normal 2 2 2 2 2 2 23 2 2 9" xfId="1444"/>
    <cellStyle name="Normal 2 2 2 2 2 2 23 2 3" xfId="1445"/>
    <cellStyle name="Normal 2 2 2 2 2 2 23 2 3 10" xfId="1446"/>
    <cellStyle name="Normal 2 2 2 2 2 2 23 2 3 11" xfId="1447"/>
    <cellStyle name="Normal 2 2 2 2 2 2 23 2 3 12" xfId="1448"/>
    <cellStyle name="Normal 2 2 2 2 2 2 23 2 3 13" xfId="1449"/>
    <cellStyle name="Normal 2 2 2 2 2 2 23 2 3 2" xfId="1450"/>
    <cellStyle name="Normal 2 2 2 2 2 2 23 2 3 2 10" xfId="1451"/>
    <cellStyle name="Normal 2 2 2 2 2 2 23 2 3 2 11" xfId="1452"/>
    <cellStyle name="Normal 2 2 2 2 2 2 23 2 3 2 12" xfId="1453"/>
    <cellStyle name="Normal 2 2 2 2 2 2 23 2 3 2 2" xfId="1454"/>
    <cellStyle name="Normal 2 2 2 2 2 2 23 2 3 2 2 10" xfId="1455"/>
    <cellStyle name="Normal 2 2 2 2 2 2 23 2 3 2 2 11" xfId="1456"/>
    <cellStyle name="Normal 2 2 2 2 2 2 23 2 3 2 2 12" xfId="1457"/>
    <cellStyle name="Normal 2 2 2 2 2 2 23 2 3 2 2 2" xfId="1458"/>
    <cellStyle name="Normal 2 2 2 2 2 2 23 2 3 2 2 2 10" xfId="1459"/>
    <cellStyle name="Normal 2 2 2 2 2 2 23 2 3 2 2 2 11" xfId="1460"/>
    <cellStyle name="Normal 2 2 2 2 2 2 23 2 3 2 2 2 2" xfId="1461"/>
    <cellStyle name="Normal 2 2 2 2 2 2 23 2 3 2 2 2 2 10" xfId="1462"/>
    <cellStyle name="Normal 2 2 2 2 2 2 23 2 3 2 2 2 2 11" xfId="1463"/>
    <cellStyle name="Normal 2 2 2 2 2 2 23 2 3 2 2 2 2 2" xfId="1464"/>
    <cellStyle name="Normal 2 2 2 2 2 2 23 2 3 2 2 2 2 2 2" xfId="1465"/>
    <cellStyle name="Normal 2 2 2 2 2 2 23 2 3 2 2 2 2 3" xfId="1466"/>
    <cellStyle name="Normal 2 2 2 2 2 2 23 2 3 2 2 2 2 4" xfId="1467"/>
    <cellStyle name="Normal 2 2 2 2 2 2 23 2 3 2 2 2 2 5" xfId="1468"/>
    <cellStyle name="Normal 2 2 2 2 2 2 23 2 3 2 2 2 2 6" xfId="1469"/>
    <cellStyle name="Normal 2 2 2 2 2 2 23 2 3 2 2 2 2 7" xfId="1470"/>
    <cellStyle name="Normal 2 2 2 2 2 2 23 2 3 2 2 2 2 8" xfId="1471"/>
    <cellStyle name="Normal 2 2 2 2 2 2 23 2 3 2 2 2 2 9" xfId="1472"/>
    <cellStyle name="Normal 2 2 2 2 2 2 23 2 3 2 2 2 3" xfId="1473"/>
    <cellStyle name="Normal 2 2 2 2 2 2 23 2 3 2 2 2 3 2" xfId="1474"/>
    <cellStyle name="Normal 2 2 2 2 2 2 23 2 3 2 2 2 4" xfId="1475"/>
    <cellStyle name="Normal 2 2 2 2 2 2 23 2 3 2 2 2 5" xfId="1476"/>
    <cellStyle name="Normal 2 2 2 2 2 2 23 2 3 2 2 2 6" xfId="1477"/>
    <cellStyle name="Normal 2 2 2 2 2 2 23 2 3 2 2 2 7" xfId="1478"/>
    <cellStyle name="Normal 2 2 2 2 2 2 23 2 3 2 2 2 8" xfId="1479"/>
    <cellStyle name="Normal 2 2 2 2 2 2 23 2 3 2 2 2 9" xfId="1480"/>
    <cellStyle name="Normal 2 2 2 2 2 2 23 2 3 2 2 3" xfId="1481"/>
    <cellStyle name="Normal 2 2 2 2 2 2 23 2 3 2 2 3 2" xfId="1482"/>
    <cellStyle name="Normal 2 2 2 2 2 2 23 2 3 2 2 4" xfId="1483"/>
    <cellStyle name="Normal 2 2 2 2 2 2 23 2 3 2 2 5" xfId="1484"/>
    <cellStyle name="Normal 2 2 2 2 2 2 23 2 3 2 2 6" xfId="1485"/>
    <cellStyle name="Normal 2 2 2 2 2 2 23 2 3 2 2 7" xfId="1486"/>
    <cellStyle name="Normal 2 2 2 2 2 2 23 2 3 2 2 8" xfId="1487"/>
    <cellStyle name="Normal 2 2 2 2 2 2 23 2 3 2 2 9" xfId="1488"/>
    <cellStyle name="Normal 2 2 2 2 2 2 23 2 3 2 3" xfId="1489"/>
    <cellStyle name="Normal 2 2 2 2 2 2 23 2 3 2 3 10" xfId="1490"/>
    <cellStyle name="Normal 2 2 2 2 2 2 23 2 3 2 3 11" xfId="1491"/>
    <cellStyle name="Normal 2 2 2 2 2 2 23 2 3 2 3 2" xfId="1492"/>
    <cellStyle name="Normal 2 2 2 2 2 2 23 2 3 2 3 2 2" xfId="1493"/>
    <cellStyle name="Normal 2 2 2 2 2 2 23 2 3 2 3 3" xfId="1494"/>
    <cellStyle name="Normal 2 2 2 2 2 2 23 2 3 2 3 4" xfId="1495"/>
    <cellStyle name="Normal 2 2 2 2 2 2 23 2 3 2 3 5" xfId="1496"/>
    <cellStyle name="Normal 2 2 2 2 2 2 23 2 3 2 3 6" xfId="1497"/>
    <cellStyle name="Normal 2 2 2 2 2 2 23 2 3 2 3 7" xfId="1498"/>
    <cellStyle name="Normal 2 2 2 2 2 2 23 2 3 2 3 8" xfId="1499"/>
    <cellStyle name="Normal 2 2 2 2 2 2 23 2 3 2 3 9" xfId="1500"/>
    <cellStyle name="Normal 2 2 2 2 2 2 23 2 3 2 4" xfId="1501"/>
    <cellStyle name="Normal 2 2 2 2 2 2 23 2 3 2 4 2" xfId="1502"/>
    <cellStyle name="Normal 2 2 2 2 2 2 23 2 3 2 5" xfId="1503"/>
    <cellStyle name="Normal 2 2 2 2 2 2 23 2 3 2 6" xfId="1504"/>
    <cellStyle name="Normal 2 2 2 2 2 2 23 2 3 2 7" xfId="1505"/>
    <cellStyle name="Normal 2 2 2 2 2 2 23 2 3 2 8" xfId="1506"/>
    <cellStyle name="Normal 2 2 2 2 2 2 23 2 3 2 9" xfId="1507"/>
    <cellStyle name="Normal 2 2 2 2 2 2 23 2 3 3" xfId="1508"/>
    <cellStyle name="Normal 2 2 2 2 2 2 23 2 3 3 10" xfId="1509"/>
    <cellStyle name="Normal 2 2 2 2 2 2 23 2 3 3 11" xfId="1510"/>
    <cellStyle name="Normal 2 2 2 2 2 2 23 2 3 3 2" xfId="1511"/>
    <cellStyle name="Normal 2 2 2 2 2 2 23 2 3 3 2 10" xfId="1512"/>
    <cellStyle name="Normal 2 2 2 2 2 2 23 2 3 3 2 11" xfId="1513"/>
    <cellStyle name="Normal 2 2 2 2 2 2 23 2 3 3 2 2" xfId="1514"/>
    <cellStyle name="Normal 2 2 2 2 2 2 23 2 3 3 2 2 2" xfId="1515"/>
    <cellStyle name="Normal 2 2 2 2 2 2 23 2 3 3 2 3" xfId="1516"/>
    <cellStyle name="Normal 2 2 2 2 2 2 23 2 3 3 2 4" xfId="1517"/>
    <cellStyle name="Normal 2 2 2 2 2 2 23 2 3 3 2 5" xfId="1518"/>
    <cellStyle name="Normal 2 2 2 2 2 2 23 2 3 3 2 6" xfId="1519"/>
    <cellStyle name="Normal 2 2 2 2 2 2 23 2 3 3 2 7" xfId="1520"/>
    <cellStyle name="Normal 2 2 2 2 2 2 23 2 3 3 2 8" xfId="1521"/>
    <cellStyle name="Normal 2 2 2 2 2 2 23 2 3 3 2 9" xfId="1522"/>
    <cellStyle name="Normal 2 2 2 2 2 2 23 2 3 3 3" xfId="1523"/>
    <cellStyle name="Normal 2 2 2 2 2 2 23 2 3 3 3 2" xfId="1524"/>
    <cellStyle name="Normal 2 2 2 2 2 2 23 2 3 3 4" xfId="1525"/>
    <cellStyle name="Normal 2 2 2 2 2 2 23 2 3 3 5" xfId="1526"/>
    <cellStyle name="Normal 2 2 2 2 2 2 23 2 3 3 6" xfId="1527"/>
    <cellStyle name="Normal 2 2 2 2 2 2 23 2 3 3 7" xfId="1528"/>
    <cellStyle name="Normal 2 2 2 2 2 2 23 2 3 3 8" xfId="1529"/>
    <cellStyle name="Normal 2 2 2 2 2 2 23 2 3 3 9" xfId="1530"/>
    <cellStyle name="Normal 2 2 2 2 2 2 23 2 3 4" xfId="1531"/>
    <cellStyle name="Normal 2 2 2 2 2 2 23 2 3 4 2" xfId="1532"/>
    <cellStyle name="Normal 2 2 2 2 2 2 23 2 3 5" xfId="1533"/>
    <cellStyle name="Normal 2 2 2 2 2 2 23 2 3 6" xfId="1534"/>
    <cellStyle name="Normal 2 2 2 2 2 2 23 2 3 7" xfId="1535"/>
    <cellStyle name="Normal 2 2 2 2 2 2 23 2 3 8" xfId="1536"/>
    <cellStyle name="Normal 2 2 2 2 2 2 23 2 3 9" xfId="1537"/>
    <cellStyle name="Normal 2 2 2 2 2 2 23 2 4" xfId="1538"/>
    <cellStyle name="Normal 2 2 2 2 2 2 23 2 4 10" xfId="1539"/>
    <cellStyle name="Normal 2 2 2 2 2 2 23 2 4 11" xfId="1540"/>
    <cellStyle name="Normal 2 2 2 2 2 2 23 2 4 12" xfId="1541"/>
    <cellStyle name="Normal 2 2 2 2 2 2 23 2 4 2" xfId="1542"/>
    <cellStyle name="Normal 2 2 2 2 2 2 23 2 4 2 10" xfId="1543"/>
    <cellStyle name="Normal 2 2 2 2 2 2 23 2 4 2 11" xfId="1544"/>
    <cellStyle name="Normal 2 2 2 2 2 2 23 2 4 2 2" xfId="1545"/>
    <cellStyle name="Normal 2 2 2 2 2 2 23 2 4 2 2 10" xfId="1546"/>
    <cellStyle name="Normal 2 2 2 2 2 2 23 2 4 2 2 11" xfId="1547"/>
    <cellStyle name="Normal 2 2 2 2 2 2 23 2 4 2 2 2" xfId="1548"/>
    <cellStyle name="Normal 2 2 2 2 2 2 23 2 4 2 2 2 2" xfId="1549"/>
    <cellStyle name="Normal 2 2 2 2 2 2 23 2 4 2 2 3" xfId="1550"/>
    <cellStyle name="Normal 2 2 2 2 2 2 23 2 4 2 2 4" xfId="1551"/>
    <cellStyle name="Normal 2 2 2 2 2 2 23 2 4 2 2 5" xfId="1552"/>
    <cellStyle name="Normal 2 2 2 2 2 2 23 2 4 2 2 6" xfId="1553"/>
    <cellStyle name="Normal 2 2 2 2 2 2 23 2 4 2 2 7" xfId="1554"/>
    <cellStyle name="Normal 2 2 2 2 2 2 23 2 4 2 2 8" xfId="1555"/>
    <cellStyle name="Normal 2 2 2 2 2 2 23 2 4 2 2 9" xfId="1556"/>
    <cellStyle name="Normal 2 2 2 2 2 2 23 2 4 2 3" xfId="1557"/>
    <cellStyle name="Normal 2 2 2 2 2 2 23 2 4 2 3 2" xfId="1558"/>
    <cellStyle name="Normal 2 2 2 2 2 2 23 2 4 2 4" xfId="1559"/>
    <cellStyle name="Normal 2 2 2 2 2 2 23 2 4 2 5" xfId="1560"/>
    <cellStyle name="Normal 2 2 2 2 2 2 23 2 4 2 6" xfId="1561"/>
    <cellStyle name="Normal 2 2 2 2 2 2 23 2 4 2 7" xfId="1562"/>
    <cellStyle name="Normal 2 2 2 2 2 2 23 2 4 2 8" xfId="1563"/>
    <cellStyle name="Normal 2 2 2 2 2 2 23 2 4 2 9" xfId="1564"/>
    <cellStyle name="Normal 2 2 2 2 2 2 23 2 4 3" xfId="1565"/>
    <cellStyle name="Normal 2 2 2 2 2 2 23 2 4 3 2" xfId="1566"/>
    <cellStyle name="Normal 2 2 2 2 2 2 23 2 4 4" xfId="1567"/>
    <cellStyle name="Normal 2 2 2 2 2 2 23 2 4 5" xfId="1568"/>
    <cellStyle name="Normal 2 2 2 2 2 2 23 2 4 6" xfId="1569"/>
    <cellStyle name="Normal 2 2 2 2 2 2 23 2 4 7" xfId="1570"/>
    <cellStyle name="Normal 2 2 2 2 2 2 23 2 4 8" xfId="1571"/>
    <cellStyle name="Normal 2 2 2 2 2 2 23 2 4 9" xfId="1572"/>
    <cellStyle name="Normal 2 2 2 2 2 2 23 2 5" xfId="1573"/>
    <cellStyle name="Normal 2 2 2 2 2 2 23 2 5 10" xfId="1574"/>
    <cellStyle name="Normal 2 2 2 2 2 2 23 2 5 11" xfId="1575"/>
    <cellStyle name="Normal 2 2 2 2 2 2 23 2 5 2" xfId="1576"/>
    <cellStyle name="Normal 2 2 2 2 2 2 23 2 5 2 2" xfId="1577"/>
    <cellStyle name="Normal 2 2 2 2 2 2 23 2 5 3" xfId="1578"/>
    <cellStyle name="Normal 2 2 2 2 2 2 23 2 5 4" xfId="1579"/>
    <cellStyle name="Normal 2 2 2 2 2 2 23 2 5 5" xfId="1580"/>
    <cellStyle name="Normal 2 2 2 2 2 2 23 2 5 6" xfId="1581"/>
    <cellStyle name="Normal 2 2 2 2 2 2 23 2 5 7" xfId="1582"/>
    <cellStyle name="Normal 2 2 2 2 2 2 23 2 5 8" xfId="1583"/>
    <cellStyle name="Normal 2 2 2 2 2 2 23 2 5 9" xfId="1584"/>
    <cellStyle name="Normal 2 2 2 2 2 2 23 2 6" xfId="1585"/>
    <cellStyle name="Normal 2 2 2 2 2 2 23 2 6 2" xfId="1586"/>
    <cellStyle name="Normal 2 2 2 2 2 2 23 2 7" xfId="1587"/>
    <cellStyle name="Normal 2 2 2 2 2 2 23 2 8" xfId="1588"/>
    <cellStyle name="Normal 2 2 2 2 2 2 23 2 9" xfId="1589"/>
    <cellStyle name="Normal 2 2 2 2 2 2 23 3" xfId="1590"/>
    <cellStyle name="Normal 2 2 2 2 2 2 23 3 10" xfId="1591"/>
    <cellStyle name="Normal 2 2 2 2 2 2 23 3 11" xfId="1592"/>
    <cellStyle name="Normal 2 2 2 2 2 2 23 3 12" xfId="1593"/>
    <cellStyle name="Normal 2 2 2 2 2 2 23 3 13" xfId="1594"/>
    <cellStyle name="Normal 2 2 2 2 2 2 23 3 2" xfId="1595"/>
    <cellStyle name="Normal 2 2 2 2 2 2 23 3 2 10" xfId="1596"/>
    <cellStyle name="Normal 2 2 2 2 2 2 23 3 2 11" xfId="1597"/>
    <cellStyle name="Normal 2 2 2 2 2 2 23 3 2 12" xfId="1598"/>
    <cellStyle name="Normal 2 2 2 2 2 2 23 3 2 13" xfId="1599"/>
    <cellStyle name="Normal 2 2 2 2 2 2 23 3 2 2" xfId="1600"/>
    <cellStyle name="Normal 2 2 2 2 2 2 23 3 2 2 10" xfId="1601"/>
    <cellStyle name="Normal 2 2 2 2 2 2 23 3 2 2 11" xfId="1602"/>
    <cellStyle name="Normal 2 2 2 2 2 2 23 3 2 2 12" xfId="1603"/>
    <cellStyle name="Normal 2 2 2 2 2 2 23 3 2 2 2" xfId="1604"/>
    <cellStyle name="Normal 2 2 2 2 2 2 23 3 2 2 2 10" xfId="1605"/>
    <cellStyle name="Normal 2 2 2 2 2 2 23 3 2 2 2 11" xfId="1606"/>
    <cellStyle name="Normal 2 2 2 2 2 2 23 3 2 2 2 12" xfId="1607"/>
    <cellStyle name="Normal 2 2 2 2 2 2 23 3 2 2 2 2" xfId="1608"/>
    <cellStyle name="Normal 2 2 2 2 2 2 23 3 2 2 2 2 10" xfId="1609"/>
    <cellStyle name="Normal 2 2 2 2 2 2 23 3 2 2 2 2 11" xfId="1610"/>
    <cellStyle name="Normal 2 2 2 2 2 2 23 3 2 2 2 2 2" xfId="1611"/>
    <cellStyle name="Normal 2 2 2 2 2 2 23 3 2 2 2 2 2 10" xfId="1612"/>
    <cellStyle name="Normal 2 2 2 2 2 2 23 3 2 2 2 2 2 11" xfId="1613"/>
    <cellStyle name="Normal 2 2 2 2 2 2 23 3 2 2 2 2 2 2" xfId="1614"/>
    <cellStyle name="Normal 2 2 2 2 2 2 23 3 2 2 2 2 2 2 2" xfId="1615"/>
    <cellStyle name="Normal 2 2 2 2 2 2 23 3 2 2 2 2 2 3" xfId="1616"/>
    <cellStyle name="Normal 2 2 2 2 2 2 23 3 2 2 2 2 2 4" xfId="1617"/>
    <cellStyle name="Normal 2 2 2 2 2 2 23 3 2 2 2 2 2 5" xfId="1618"/>
    <cellStyle name="Normal 2 2 2 2 2 2 23 3 2 2 2 2 2 6" xfId="1619"/>
    <cellStyle name="Normal 2 2 2 2 2 2 23 3 2 2 2 2 2 7" xfId="1620"/>
    <cellStyle name="Normal 2 2 2 2 2 2 23 3 2 2 2 2 2 8" xfId="1621"/>
    <cellStyle name="Normal 2 2 2 2 2 2 23 3 2 2 2 2 2 9" xfId="1622"/>
    <cellStyle name="Normal 2 2 2 2 2 2 23 3 2 2 2 2 3" xfId="1623"/>
    <cellStyle name="Normal 2 2 2 2 2 2 23 3 2 2 2 2 3 2" xfId="1624"/>
    <cellStyle name="Normal 2 2 2 2 2 2 23 3 2 2 2 2 4" xfId="1625"/>
    <cellStyle name="Normal 2 2 2 2 2 2 23 3 2 2 2 2 5" xfId="1626"/>
    <cellStyle name="Normal 2 2 2 2 2 2 23 3 2 2 2 2 6" xfId="1627"/>
    <cellStyle name="Normal 2 2 2 2 2 2 23 3 2 2 2 2 7" xfId="1628"/>
    <cellStyle name="Normal 2 2 2 2 2 2 23 3 2 2 2 2 8" xfId="1629"/>
    <cellStyle name="Normal 2 2 2 2 2 2 23 3 2 2 2 2 9" xfId="1630"/>
    <cellStyle name="Normal 2 2 2 2 2 2 23 3 2 2 2 3" xfId="1631"/>
    <cellStyle name="Normal 2 2 2 2 2 2 23 3 2 2 2 3 2" xfId="1632"/>
    <cellStyle name="Normal 2 2 2 2 2 2 23 3 2 2 2 4" xfId="1633"/>
    <cellStyle name="Normal 2 2 2 2 2 2 23 3 2 2 2 5" xfId="1634"/>
    <cellStyle name="Normal 2 2 2 2 2 2 23 3 2 2 2 6" xfId="1635"/>
    <cellStyle name="Normal 2 2 2 2 2 2 23 3 2 2 2 7" xfId="1636"/>
    <cellStyle name="Normal 2 2 2 2 2 2 23 3 2 2 2 8" xfId="1637"/>
    <cellStyle name="Normal 2 2 2 2 2 2 23 3 2 2 2 9" xfId="1638"/>
    <cellStyle name="Normal 2 2 2 2 2 2 23 3 2 2 3" xfId="1639"/>
    <cellStyle name="Normal 2 2 2 2 2 2 23 3 2 2 3 10" xfId="1640"/>
    <cellStyle name="Normal 2 2 2 2 2 2 23 3 2 2 3 11" xfId="1641"/>
    <cellStyle name="Normal 2 2 2 2 2 2 23 3 2 2 3 2" xfId="1642"/>
    <cellStyle name="Normal 2 2 2 2 2 2 23 3 2 2 3 2 2" xfId="1643"/>
    <cellStyle name="Normal 2 2 2 2 2 2 23 3 2 2 3 3" xfId="1644"/>
    <cellStyle name="Normal 2 2 2 2 2 2 23 3 2 2 3 4" xfId="1645"/>
    <cellStyle name="Normal 2 2 2 2 2 2 23 3 2 2 3 5" xfId="1646"/>
    <cellStyle name="Normal 2 2 2 2 2 2 23 3 2 2 3 6" xfId="1647"/>
    <cellStyle name="Normal 2 2 2 2 2 2 23 3 2 2 3 7" xfId="1648"/>
    <cellStyle name="Normal 2 2 2 2 2 2 23 3 2 2 3 8" xfId="1649"/>
    <cellStyle name="Normal 2 2 2 2 2 2 23 3 2 2 3 9" xfId="1650"/>
    <cellStyle name="Normal 2 2 2 2 2 2 23 3 2 2 4" xfId="1651"/>
    <cellStyle name="Normal 2 2 2 2 2 2 23 3 2 2 4 2" xfId="1652"/>
    <cellStyle name="Normal 2 2 2 2 2 2 23 3 2 2 5" xfId="1653"/>
    <cellStyle name="Normal 2 2 2 2 2 2 23 3 2 2 6" xfId="1654"/>
    <cellStyle name="Normal 2 2 2 2 2 2 23 3 2 2 7" xfId="1655"/>
    <cellStyle name="Normal 2 2 2 2 2 2 23 3 2 2 8" xfId="1656"/>
    <cellStyle name="Normal 2 2 2 2 2 2 23 3 2 2 9" xfId="1657"/>
    <cellStyle name="Normal 2 2 2 2 2 2 23 3 2 3" xfId="1658"/>
    <cellStyle name="Normal 2 2 2 2 2 2 23 3 2 3 10" xfId="1659"/>
    <cellStyle name="Normal 2 2 2 2 2 2 23 3 2 3 11" xfId="1660"/>
    <cellStyle name="Normal 2 2 2 2 2 2 23 3 2 3 2" xfId="1661"/>
    <cellStyle name="Normal 2 2 2 2 2 2 23 3 2 3 2 10" xfId="1662"/>
    <cellStyle name="Normal 2 2 2 2 2 2 23 3 2 3 2 11" xfId="1663"/>
    <cellStyle name="Normal 2 2 2 2 2 2 23 3 2 3 2 2" xfId="1664"/>
    <cellStyle name="Normal 2 2 2 2 2 2 23 3 2 3 2 2 2" xfId="1665"/>
    <cellStyle name="Normal 2 2 2 2 2 2 23 3 2 3 2 3" xfId="1666"/>
    <cellStyle name="Normal 2 2 2 2 2 2 23 3 2 3 2 4" xfId="1667"/>
    <cellStyle name="Normal 2 2 2 2 2 2 23 3 2 3 2 5" xfId="1668"/>
    <cellStyle name="Normal 2 2 2 2 2 2 23 3 2 3 2 6" xfId="1669"/>
    <cellStyle name="Normal 2 2 2 2 2 2 23 3 2 3 2 7" xfId="1670"/>
    <cellStyle name="Normal 2 2 2 2 2 2 23 3 2 3 2 8" xfId="1671"/>
    <cellStyle name="Normal 2 2 2 2 2 2 23 3 2 3 2 9" xfId="1672"/>
    <cellStyle name="Normal 2 2 2 2 2 2 23 3 2 3 3" xfId="1673"/>
    <cellStyle name="Normal 2 2 2 2 2 2 23 3 2 3 3 2" xfId="1674"/>
    <cellStyle name="Normal 2 2 2 2 2 2 23 3 2 3 4" xfId="1675"/>
    <cellStyle name="Normal 2 2 2 2 2 2 23 3 2 3 5" xfId="1676"/>
    <cellStyle name="Normal 2 2 2 2 2 2 23 3 2 3 6" xfId="1677"/>
    <cellStyle name="Normal 2 2 2 2 2 2 23 3 2 3 7" xfId="1678"/>
    <cellStyle name="Normal 2 2 2 2 2 2 23 3 2 3 8" xfId="1679"/>
    <cellStyle name="Normal 2 2 2 2 2 2 23 3 2 3 9" xfId="1680"/>
    <cellStyle name="Normal 2 2 2 2 2 2 23 3 2 4" xfId="1681"/>
    <cellStyle name="Normal 2 2 2 2 2 2 23 3 2 4 2" xfId="1682"/>
    <cellStyle name="Normal 2 2 2 2 2 2 23 3 2 5" xfId="1683"/>
    <cellStyle name="Normal 2 2 2 2 2 2 23 3 2 6" xfId="1684"/>
    <cellStyle name="Normal 2 2 2 2 2 2 23 3 2 7" xfId="1685"/>
    <cellStyle name="Normal 2 2 2 2 2 2 23 3 2 8" xfId="1686"/>
    <cellStyle name="Normal 2 2 2 2 2 2 23 3 2 9" xfId="1687"/>
    <cellStyle name="Normal 2 2 2 2 2 2 23 3 3" xfId="1688"/>
    <cellStyle name="Normal 2 2 2 2 2 2 23 3 3 10" xfId="1689"/>
    <cellStyle name="Normal 2 2 2 2 2 2 23 3 3 11" xfId="1690"/>
    <cellStyle name="Normal 2 2 2 2 2 2 23 3 3 12" xfId="1691"/>
    <cellStyle name="Normal 2 2 2 2 2 2 23 3 3 2" xfId="1692"/>
    <cellStyle name="Normal 2 2 2 2 2 2 23 3 3 2 10" xfId="1693"/>
    <cellStyle name="Normal 2 2 2 2 2 2 23 3 3 2 11" xfId="1694"/>
    <cellStyle name="Normal 2 2 2 2 2 2 23 3 3 2 2" xfId="1695"/>
    <cellStyle name="Normal 2 2 2 2 2 2 23 3 3 2 2 10" xfId="1696"/>
    <cellStyle name="Normal 2 2 2 2 2 2 23 3 3 2 2 11" xfId="1697"/>
    <cellStyle name="Normal 2 2 2 2 2 2 23 3 3 2 2 2" xfId="1698"/>
    <cellStyle name="Normal 2 2 2 2 2 2 23 3 3 2 2 2 2" xfId="1699"/>
    <cellStyle name="Normal 2 2 2 2 2 2 23 3 3 2 2 3" xfId="1700"/>
    <cellStyle name="Normal 2 2 2 2 2 2 23 3 3 2 2 4" xfId="1701"/>
    <cellStyle name="Normal 2 2 2 2 2 2 23 3 3 2 2 5" xfId="1702"/>
    <cellStyle name="Normal 2 2 2 2 2 2 23 3 3 2 2 6" xfId="1703"/>
    <cellStyle name="Normal 2 2 2 2 2 2 23 3 3 2 2 7" xfId="1704"/>
    <cellStyle name="Normal 2 2 2 2 2 2 23 3 3 2 2 8" xfId="1705"/>
    <cellStyle name="Normal 2 2 2 2 2 2 23 3 3 2 2 9" xfId="1706"/>
    <cellStyle name="Normal 2 2 2 2 2 2 23 3 3 2 3" xfId="1707"/>
    <cellStyle name="Normal 2 2 2 2 2 2 23 3 3 2 3 2" xfId="1708"/>
    <cellStyle name="Normal 2 2 2 2 2 2 23 3 3 2 4" xfId="1709"/>
    <cellStyle name="Normal 2 2 2 2 2 2 23 3 3 2 5" xfId="1710"/>
    <cellStyle name="Normal 2 2 2 2 2 2 23 3 3 2 6" xfId="1711"/>
    <cellStyle name="Normal 2 2 2 2 2 2 23 3 3 2 7" xfId="1712"/>
    <cellStyle name="Normal 2 2 2 2 2 2 23 3 3 2 8" xfId="1713"/>
    <cellStyle name="Normal 2 2 2 2 2 2 23 3 3 2 9" xfId="1714"/>
    <cellStyle name="Normal 2 2 2 2 2 2 23 3 3 3" xfId="1715"/>
    <cellStyle name="Normal 2 2 2 2 2 2 23 3 3 3 2" xfId="1716"/>
    <cellStyle name="Normal 2 2 2 2 2 2 23 3 3 4" xfId="1717"/>
    <cellStyle name="Normal 2 2 2 2 2 2 23 3 3 5" xfId="1718"/>
    <cellStyle name="Normal 2 2 2 2 2 2 23 3 3 6" xfId="1719"/>
    <cellStyle name="Normal 2 2 2 2 2 2 23 3 3 7" xfId="1720"/>
    <cellStyle name="Normal 2 2 2 2 2 2 23 3 3 8" xfId="1721"/>
    <cellStyle name="Normal 2 2 2 2 2 2 23 3 3 9" xfId="1722"/>
    <cellStyle name="Normal 2 2 2 2 2 2 23 3 4" xfId="1723"/>
    <cellStyle name="Normal 2 2 2 2 2 2 23 3 4 10" xfId="1724"/>
    <cellStyle name="Normal 2 2 2 2 2 2 23 3 4 11" xfId="1725"/>
    <cellStyle name="Normal 2 2 2 2 2 2 23 3 4 2" xfId="1726"/>
    <cellStyle name="Normal 2 2 2 2 2 2 23 3 4 2 2" xfId="1727"/>
    <cellStyle name="Normal 2 2 2 2 2 2 23 3 4 3" xfId="1728"/>
    <cellStyle name="Normal 2 2 2 2 2 2 23 3 4 4" xfId="1729"/>
    <cellStyle name="Normal 2 2 2 2 2 2 23 3 4 5" xfId="1730"/>
    <cellStyle name="Normal 2 2 2 2 2 2 23 3 4 6" xfId="1731"/>
    <cellStyle name="Normal 2 2 2 2 2 2 23 3 4 7" xfId="1732"/>
    <cellStyle name="Normal 2 2 2 2 2 2 23 3 4 8" xfId="1733"/>
    <cellStyle name="Normal 2 2 2 2 2 2 23 3 4 9" xfId="1734"/>
    <cellStyle name="Normal 2 2 2 2 2 2 23 3 5" xfId="1735"/>
    <cellStyle name="Normal 2 2 2 2 2 2 23 3 5 2" xfId="1736"/>
    <cellStyle name="Normal 2 2 2 2 2 2 23 3 6" xfId="1737"/>
    <cellStyle name="Normal 2 2 2 2 2 2 23 3 7" xfId="1738"/>
    <cellStyle name="Normal 2 2 2 2 2 2 23 3 8" xfId="1739"/>
    <cellStyle name="Normal 2 2 2 2 2 2 23 3 9" xfId="1740"/>
    <cellStyle name="Normal 2 2 2 2 2 2 23 4" xfId="1741"/>
    <cellStyle name="Normal 2 2 2 2 2 2 23 4 10" xfId="1742"/>
    <cellStyle name="Normal 2 2 2 2 2 2 23 4 11" xfId="1743"/>
    <cellStyle name="Normal 2 2 2 2 2 2 23 4 12" xfId="1744"/>
    <cellStyle name="Normal 2 2 2 2 2 2 23 4 2" xfId="1745"/>
    <cellStyle name="Normal 2 2 2 2 2 2 23 4 2 10" xfId="1746"/>
    <cellStyle name="Normal 2 2 2 2 2 2 23 4 2 11" xfId="1747"/>
    <cellStyle name="Normal 2 2 2 2 2 2 23 4 2 12" xfId="1748"/>
    <cellStyle name="Normal 2 2 2 2 2 2 23 4 2 2" xfId="1749"/>
    <cellStyle name="Normal 2 2 2 2 2 2 23 4 2 2 10" xfId="1750"/>
    <cellStyle name="Normal 2 2 2 2 2 2 23 4 2 2 11" xfId="1751"/>
    <cellStyle name="Normal 2 2 2 2 2 2 23 4 2 2 2" xfId="1752"/>
    <cellStyle name="Normal 2 2 2 2 2 2 23 4 2 2 2 10" xfId="1753"/>
    <cellStyle name="Normal 2 2 2 2 2 2 23 4 2 2 2 11" xfId="1754"/>
    <cellStyle name="Normal 2 2 2 2 2 2 23 4 2 2 2 2" xfId="1755"/>
    <cellStyle name="Normal 2 2 2 2 2 2 23 4 2 2 2 2 2" xfId="1756"/>
    <cellStyle name="Normal 2 2 2 2 2 2 23 4 2 2 2 3" xfId="1757"/>
    <cellStyle name="Normal 2 2 2 2 2 2 23 4 2 2 2 4" xfId="1758"/>
    <cellStyle name="Normal 2 2 2 2 2 2 23 4 2 2 2 5" xfId="1759"/>
    <cellStyle name="Normal 2 2 2 2 2 2 23 4 2 2 2 6" xfId="1760"/>
    <cellStyle name="Normal 2 2 2 2 2 2 23 4 2 2 2 7" xfId="1761"/>
    <cellStyle name="Normal 2 2 2 2 2 2 23 4 2 2 2 8" xfId="1762"/>
    <cellStyle name="Normal 2 2 2 2 2 2 23 4 2 2 2 9" xfId="1763"/>
    <cellStyle name="Normal 2 2 2 2 2 2 23 4 2 2 3" xfId="1764"/>
    <cellStyle name="Normal 2 2 2 2 2 2 23 4 2 2 3 2" xfId="1765"/>
    <cellStyle name="Normal 2 2 2 2 2 2 23 4 2 2 4" xfId="1766"/>
    <cellStyle name="Normal 2 2 2 2 2 2 23 4 2 2 5" xfId="1767"/>
    <cellStyle name="Normal 2 2 2 2 2 2 23 4 2 2 6" xfId="1768"/>
    <cellStyle name="Normal 2 2 2 2 2 2 23 4 2 2 7" xfId="1769"/>
    <cellStyle name="Normal 2 2 2 2 2 2 23 4 2 2 8" xfId="1770"/>
    <cellStyle name="Normal 2 2 2 2 2 2 23 4 2 2 9" xfId="1771"/>
    <cellStyle name="Normal 2 2 2 2 2 2 23 4 2 3" xfId="1772"/>
    <cellStyle name="Normal 2 2 2 2 2 2 23 4 2 3 2" xfId="1773"/>
    <cellStyle name="Normal 2 2 2 2 2 2 23 4 2 4" xfId="1774"/>
    <cellStyle name="Normal 2 2 2 2 2 2 23 4 2 5" xfId="1775"/>
    <cellStyle name="Normal 2 2 2 2 2 2 23 4 2 6" xfId="1776"/>
    <cellStyle name="Normal 2 2 2 2 2 2 23 4 2 7" xfId="1777"/>
    <cellStyle name="Normal 2 2 2 2 2 2 23 4 2 8" xfId="1778"/>
    <cellStyle name="Normal 2 2 2 2 2 2 23 4 2 9" xfId="1779"/>
    <cellStyle name="Normal 2 2 2 2 2 2 23 4 3" xfId="1780"/>
    <cellStyle name="Normal 2 2 2 2 2 2 23 4 3 10" xfId="1781"/>
    <cellStyle name="Normal 2 2 2 2 2 2 23 4 3 11" xfId="1782"/>
    <cellStyle name="Normal 2 2 2 2 2 2 23 4 3 2" xfId="1783"/>
    <cellStyle name="Normal 2 2 2 2 2 2 23 4 3 2 2" xfId="1784"/>
    <cellStyle name="Normal 2 2 2 2 2 2 23 4 3 3" xfId="1785"/>
    <cellStyle name="Normal 2 2 2 2 2 2 23 4 3 4" xfId="1786"/>
    <cellStyle name="Normal 2 2 2 2 2 2 23 4 3 5" xfId="1787"/>
    <cellStyle name="Normal 2 2 2 2 2 2 23 4 3 6" xfId="1788"/>
    <cellStyle name="Normal 2 2 2 2 2 2 23 4 3 7" xfId="1789"/>
    <cellStyle name="Normal 2 2 2 2 2 2 23 4 3 8" xfId="1790"/>
    <cellStyle name="Normal 2 2 2 2 2 2 23 4 3 9" xfId="1791"/>
    <cellStyle name="Normal 2 2 2 2 2 2 23 4 4" xfId="1792"/>
    <cellStyle name="Normal 2 2 2 2 2 2 23 4 4 2" xfId="1793"/>
    <cellStyle name="Normal 2 2 2 2 2 2 23 4 5" xfId="1794"/>
    <cellStyle name="Normal 2 2 2 2 2 2 23 4 6" xfId="1795"/>
    <cellStyle name="Normal 2 2 2 2 2 2 23 4 7" xfId="1796"/>
    <cellStyle name="Normal 2 2 2 2 2 2 23 4 8" xfId="1797"/>
    <cellStyle name="Normal 2 2 2 2 2 2 23 4 9" xfId="1798"/>
    <cellStyle name="Normal 2 2 2 2 2 2 23 5" xfId="1799"/>
    <cellStyle name="Normal 2 2 2 2 2 2 23 5 10" xfId="1800"/>
    <cellStyle name="Normal 2 2 2 2 2 2 23 5 11" xfId="1801"/>
    <cellStyle name="Normal 2 2 2 2 2 2 23 5 2" xfId="1802"/>
    <cellStyle name="Normal 2 2 2 2 2 2 23 5 2 10" xfId="1803"/>
    <cellStyle name="Normal 2 2 2 2 2 2 23 5 2 11" xfId="1804"/>
    <cellStyle name="Normal 2 2 2 2 2 2 23 5 2 2" xfId="1805"/>
    <cellStyle name="Normal 2 2 2 2 2 2 23 5 2 2 2" xfId="1806"/>
    <cellStyle name="Normal 2 2 2 2 2 2 23 5 2 3" xfId="1807"/>
    <cellStyle name="Normal 2 2 2 2 2 2 23 5 2 4" xfId="1808"/>
    <cellStyle name="Normal 2 2 2 2 2 2 23 5 2 5" xfId="1809"/>
    <cellStyle name="Normal 2 2 2 2 2 2 23 5 2 6" xfId="1810"/>
    <cellStyle name="Normal 2 2 2 2 2 2 23 5 2 7" xfId="1811"/>
    <cellStyle name="Normal 2 2 2 2 2 2 23 5 2 8" xfId="1812"/>
    <cellStyle name="Normal 2 2 2 2 2 2 23 5 2 9" xfId="1813"/>
    <cellStyle name="Normal 2 2 2 2 2 2 23 5 3" xfId="1814"/>
    <cellStyle name="Normal 2 2 2 2 2 2 23 5 3 2" xfId="1815"/>
    <cellStyle name="Normal 2 2 2 2 2 2 23 5 4" xfId="1816"/>
    <cellStyle name="Normal 2 2 2 2 2 2 23 5 5" xfId="1817"/>
    <cellStyle name="Normal 2 2 2 2 2 2 23 5 6" xfId="1818"/>
    <cellStyle name="Normal 2 2 2 2 2 2 23 5 7" xfId="1819"/>
    <cellStyle name="Normal 2 2 2 2 2 2 23 5 8" xfId="1820"/>
    <cellStyle name="Normal 2 2 2 2 2 2 23 5 9" xfId="1821"/>
    <cellStyle name="Normal 2 2 2 2 2 2 23 6" xfId="1822"/>
    <cellStyle name="Normal 2 2 2 2 2 2 23 6 2" xfId="1823"/>
    <cellStyle name="Normal 2 2 2 2 2 2 23 7" xfId="1824"/>
    <cellStyle name="Normal 2 2 2 2 2 2 23 8" xfId="1825"/>
    <cellStyle name="Normal 2 2 2 2 2 2 23 9" xfId="1826"/>
    <cellStyle name="Normal 2 2 2 2 2 2 24" xfId="1827"/>
    <cellStyle name="Normal 2 2 2 2 2 2 24 10" xfId="1828"/>
    <cellStyle name="Normal 2 2 2 2 2 2 24 11" xfId="1829"/>
    <cellStyle name="Normal 2 2 2 2 2 2 24 12" xfId="1830"/>
    <cellStyle name="Normal 2 2 2 2 2 2 24 13" xfId="1831"/>
    <cellStyle name="Normal 2 2 2 2 2 2 24 14" xfId="1832"/>
    <cellStyle name="Normal 2 2 2 2 2 2 24 2" xfId="1833"/>
    <cellStyle name="Normal 2 2 2 2 2 2 24 2 10" xfId="1834"/>
    <cellStyle name="Normal 2 2 2 2 2 2 24 2 11" xfId="1835"/>
    <cellStyle name="Normal 2 2 2 2 2 2 24 2 12" xfId="1836"/>
    <cellStyle name="Normal 2 2 2 2 2 2 24 2 13" xfId="1837"/>
    <cellStyle name="Normal 2 2 2 2 2 2 24 2 2" xfId="1838"/>
    <cellStyle name="Normal 2 2 2 2 2 2 24 2 2 10" xfId="1839"/>
    <cellStyle name="Normal 2 2 2 2 2 2 24 2 2 11" xfId="1840"/>
    <cellStyle name="Normal 2 2 2 2 2 2 24 2 2 12" xfId="1841"/>
    <cellStyle name="Normal 2 2 2 2 2 2 24 2 2 13" xfId="1842"/>
    <cellStyle name="Normal 2 2 2 2 2 2 24 2 2 2" xfId="1843"/>
    <cellStyle name="Normal 2 2 2 2 2 2 24 2 2 2 10" xfId="1844"/>
    <cellStyle name="Normal 2 2 2 2 2 2 24 2 2 2 11" xfId="1845"/>
    <cellStyle name="Normal 2 2 2 2 2 2 24 2 2 2 12" xfId="1846"/>
    <cellStyle name="Normal 2 2 2 2 2 2 24 2 2 2 2" xfId="1847"/>
    <cellStyle name="Normal 2 2 2 2 2 2 24 2 2 2 2 10" xfId="1848"/>
    <cellStyle name="Normal 2 2 2 2 2 2 24 2 2 2 2 11" xfId="1849"/>
    <cellStyle name="Normal 2 2 2 2 2 2 24 2 2 2 2 12" xfId="1850"/>
    <cellStyle name="Normal 2 2 2 2 2 2 24 2 2 2 2 2" xfId="1851"/>
    <cellStyle name="Normal 2 2 2 2 2 2 24 2 2 2 2 2 10" xfId="1852"/>
    <cellStyle name="Normal 2 2 2 2 2 2 24 2 2 2 2 2 11" xfId="1853"/>
    <cellStyle name="Normal 2 2 2 2 2 2 24 2 2 2 2 2 2" xfId="1854"/>
    <cellStyle name="Normal 2 2 2 2 2 2 24 2 2 2 2 2 2 10" xfId="1855"/>
    <cellStyle name="Normal 2 2 2 2 2 2 24 2 2 2 2 2 2 11" xfId="1856"/>
    <cellStyle name="Normal 2 2 2 2 2 2 24 2 2 2 2 2 2 2" xfId="1857"/>
    <cellStyle name="Normal 2 2 2 2 2 2 24 2 2 2 2 2 2 2 2" xfId="1858"/>
    <cellStyle name="Normal 2 2 2 2 2 2 24 2 2 2 2 2 2 3" xfId="1859"/>
    <cellStyle name="Normal 2 2 2 2 2 2 24 2 2 2 2 2 2 4" xfId="1860"/>
    <cellStyle name="Normal 2 2 2 2 2 2 24 2 2 2 2 2 2 5" xfId="1861"/>
    <cellStyle name="Normal 2 2 2 2 2 2 24 2 2 2 2 2 2 6" xfId="1862"/>
    <cellStyle name="Normal 2 2 2 2 2 2 24 2 2 2 2 2 2 7" xfId="1863"/>
    <cellStyle name="Normal 2 2 2 2 2 2 24 2 2 2 2 2 2 8" xfId="1864"/>
    <cellStyle name="Normal 2 2 2 2 2 2 24 2 2 2 2 2 2 9" xfId="1865"/>
    <cellStyle name="Normal 2 2 2 2 2 2 24 2 2 2 2 2 3" xfId="1866"/>
    <cellStyle name="Normal 2 2 2 2 2 2 24 2 2 2 2 2 3 2" xfId="1867"/>
    <cellStyle name="Normal 2 2 2 2 2 2 24 2 2 2 2 2 4" xfId="1868"/>
    <cellStyle name="Normal 2 2 2 2 2 2 24 2 2 2 2 2 5" xfId="1869"/>
    <cellStyle name="Normal 2 2 2 2 2 2 24 2 2 2 2 2 6" xfId="1870"/>
    <cellStyle name="Normal 2 2 2 2 2 2 24 2 2 2 2 2 7" xfId="1871"/>
    <cellStyle name="Normal 2 2 2 2 2 2 24 2 2 2 2 2 8" xfId="1872"/>
    <cellStyle name="Normal 2 2 2 2 2 2 24 2 2 2 2 2 9" xfId="1873"/>
    <cellStyle name="Normal 2 2 2 2 2 2 24 2 2 2 2 3" xfId="1874"/>
    <cellStyle name="Normal 2 2 2 2 2 2 24 2 2 2 2 3 2" xfId="1875"/>
    <cellStyle name="Normal 2 2 2 2 2 2 24 2 2 2 2 4" xfId="1876"/>
    <cellStyle name="Normal 2 2 2 2 2 2 24 2 2 2 2 5" xfId="1877"/>
    <cellStyle name="Normal 2 2 2 2 2 2 24 2 2 2 2 6" xfId="1878"/>
    <cellStyle name="Normal 2 2 2 2 2 2 24 2 2 2 2 7" xfId="1879"/>
    <cellStyle name="Normal 2 2 2 2 2 2 24 2 2 2 2 8" xfId="1880"/>
    <cellStyle name="Normal 2 2 2 2 2 2 24 2 2 2 2 9" xfId="1881"/>
    <cellStyle name="Normal 2 2 2 2 2 2 24 2 2 2 3" xfId="1882"/>
    <cellStyle name="Normal 2 2 2 2 2 2 24 2 2 2 3 10" xfId="1883"/>
    <cellStyle name="Normal 2 2 2 2 2 2 24 2 2 2 3 11" xfId="1884"/>
    <cellStyle name="Normal 2 2 2 2 2 2 24 2 2 2 3 2" xfId="1885"/>
    <cellStyle name="Normal 2 2 2 2 2 2 24 2 2 2 3 2 2" xfId="1886"/>
    <cellStyle name="Normal 2 2 2 2 2 2 24 2 2 2 3 3" xfId="1887"/>
    <cellStyle name="Normal 2 2 2 2 2 2 24 2 2 2 3 4" xfId="1888"/>
    <cellStyle name="Normal 2 2 2 2 2 2 24 2 2 2 3 5" xfId="1889"/>
    <cellStyle name="Normal 2 2 2 2 2 2 24 2 2 2 3 6" xfId="1890"/>
    <cellStyle name="Normal 2 2 2 2 2 2 24 2 2 2 3 7" xfId="1891"/>
    <cellStyle name="Normal 2 2 2 2 2 2 24 2 2 2 3 8" xfId="1892"/>
    <cellStyle name="Normal 2 2 2 2 2 2 24 2 2 2 3 9" xfId="1893"/>
    <cellStyle name="Normal 2 2 2 2 2 2 24 2 2 2 4" xfId="1894"/>
    <cellStyle name="Normal 2 2 2 2 2 2 24 2 2 2 4 2" xfId="1895"/>
    <cellStyle name="Normal 2 2 2 2 2 2 24 2 2 2 5" xfId="1896"/>
    <cellStyle name="Normal 2 2 2 2 2 2 24 2 2 2 6" xfId="1897"/>
    <cellStyle name="Normal 2 2 2 2 2 2 24 2 2 2 7" xfId="1898"/>
    <cellStyle name="Normal 2 2 2 2 2 2 24 2 2 2 8" xfId="1899"/>
    <cellStyle name="Normal 2 2 2 2 2 2 24 2 2 2 9" xfId="1900"/>
    <cellStyle name="Normal 2 2 2 2 2 2 24 2 2 3" xfId="1901"/>
    <cellStyle name="Normal 2 2 2 2 2 2 24 2 2 3 10" xfId="1902"/>
    <cellStyle name="Normal 2 2 2 2 2 2 24 2 2 3 11" xfId="1903"/>
    <cellStyle name="Normal 2 2 2 2 2 2 24 2 2 3 2" xfId="1904"/>
    <cellStyle name="Normal 2 2 2 2 2 2 24 2 2 3 2 10" xfId="1905"/>
    <cellStyle name="Normal 2 2 2 2 2 2 24 2 2 3 2 11" xfId="1906"/>
    <cellStyle name="Normal 2 2 2 2 2 2 24 2 2 3 2 2" xfId="1907"/>
    <cellStyle name="Normal 2 2 2 2 2 2 24 2 2 3 2 2 2" xfId="1908"/>
    <cellStyle name="Normal 2 2 2 2 2 2 24 2 2 3 2 3" xfId="1909"/>
    <cellStyle name="Normal 2 2 2 2 2 2 24 2 2 3 2 4" xfId="1910"/>
    <cellStyle name="Normal 2 2 2 2 2 2 24 2 2 3 2 5" xfId="1911"/>
    <cellStyle name="Normal 2 2 2 2 2 2 24 2 2 3 2 6" xfId="1912"/>
    <cellStyle name="Normal 2 2 2 2 2 2 24 2 2 3 2 7" xfId="1913"/>
    <cellStyle name="Normal 2 2 2 2 2 2 24 2 2 3 2 8" xfId="1914"/>
    <cellStyle name="Normal 2 2 2 2 2 2 24 2 2 3 2 9" xfId="1915"/>
    <cellStyle name="Normal 2 2 2 2 2 2 24 2 2 3 3" xfId="1916"/>
    <cellStyle name="Normal 2 2 2 2 2 2 24 2 2 3 3 2" xfId="1917"/>
    <cellStyle name="Normal 2 2 2 2 2 2 24 2 2 3 4" xfId="1918"/>
    <cellStyle name="Normal 2 2 2 2 2 2 24 2 2 3 5" xfId="1919"/>
    <cellStyle name="Normal 2 2 2 2 2 2 24 2 2 3 6" xfId="1920"/>
    <cellStyle name="Normal 2 2 2 2 2 2 24 2 2 3 7" xfId="1921"/>
    <cellStyle name="Normal 2 2 2 2 2 2 24 2 2 3 8" xfId="1922"/>
    <cellStyle name="Normal 2 2 2 2 2 2 24 2 2 3 9" xfId="1923"/>
    <cellStyle name="Normal 2 2 2 2 2 2 24 2 2 4" xfId="1924"/>
    <cellStyle name="Normal 2 2 2 2 2 2 24 2 2 4 2" xfId="1925"/>
    <cellStyle name="Normal 2 2 2 2 2 2 24 2 2 5" xfId="1926"/>
    <cellStyle name="Normal 2 2 2 2 2 2 24 2 2 6" xfId="1927"/>
    <cellStyle name="Normal 2 2 2 2 2 2 24 2 2 7" xfId="1928"/>
    <cellStyle name="Normal 2 2 2 2 2 2 24 2 2 8" xfId="1929"/>
    <cellStyle name="Normal 2 2 2 2 2 2 24 2 2 9" xfId="1930"/>
    <cellStyle name="Normal 2 2 2 2 2 2 24 2 3" xfId="1931"/>
    <cellStyle name="Normal 2 2 2 2 2 2 24 2 3 10" xfId="1932"/>
    <cellStyle name="Normal 2 2 2 2 2 2 24 2 3 11" xfId="1933"/>
    <cellStyle name="Normal 2 2 2 2 2 2 24 2 3 12" xfId="1934"/>
    <cellStyle name="Normal 2 2 2 2 2 2 24 2 3 2" xfId="1935"/>
    <cellStyle name="Normal 2 2 2 2 2 2 24 2 3 2 10" xfId="1936"/>
    <cellStyle name="Normal 2 2 2 2 2 2 24 2 3 2 11" xfId="1937"/>
    <cellStyle name="Normal 2 2 2 2 2 2 24 2 3 2 2" xfId="1938"/>
    <cellStyle name="Normal 2 2 2 2 2 2 24 2 3 2 2 10" xfId="1939"/>
    <cellStyle name="Normal 2 2 2 2 2 2 24 2 3 2 2 11" xfId="1940"/>
    <cellStyle name="Normal 2 2 2 2 2 2 24 2 3 2 2 2" xfId="1941"/>
    <cellStyle name="Normal 2 2 2 2 2 2 24 2 3 2 2 2 2" xfId="1942"/>
    <cellStyle name="Normal 2 2 2 2 2 2 24 2 3 2 2 3" xfId="1943"/>
    <cellStyle name="Normal 2 2 2 2 2 2 24 2 3 2 2 4" xfId="1944"/>
    <cellStyle name="Normal 2 2 2 2 2 2 24 2 3 2 2 5" xfId="1945"/>
    <cellStyle name="Normal 2 2 2 2 2 2 24 2 3 2 2 6" xfId="1946"/>
    <cellStyle name="Normal 2 2 2 2 2 2 24 2 3 2 2 7" xfId="1947"/>
    <cellStyle name="Normal 2 2 2 2 2 2 24 2 3 2 2 8" xfId="1948"/>
    <cellStyle name="Normal 2 2 2 2 2 2 24 2 3 2 2 9" xfId="1949"/>
    <cellStyle name="Normal 2 2 2 2 2 2 24 2 3 2 3" xfId="1950"/>
    <cellStyle name="Normal 2 2 2 2 2 2 24 2 3 2 3 2" xfId="1951"/>
    <cellStyle name="Normal 2 2 2 2 2 2 24 2 3 2 4" xfId="1952"/>
    <cellStyle name="Normal 2 2 2 2 2 2 24 2 3 2 5" xfId="1953"/>
    <cellStyle name="Normal 2 2 2 2 2 2 24 2 3 2 6" xfId="1954"/>
    <cellStyle name="Normal 2 2 2 2 2 2 24 2 3 2 7" xfId="1955"/>
    <cellStyle name="Normal 2 2 2 2 2 2 24 2 3 2 8" xfId="1956"/>
    <cellStyle name="Normal 2 2 2 2 2 2 24 2 3 2 9" xfId="1957"/>
    <cellStyle name="Normal 2 2 2 2 2 2 24 2 3 3" xfId="1958"/>
    <cellStyle name="Normal 2 2 2 2 2 2 24 2 3 3 2" xfId="1959"/>
    <cellStyle name="Normal 2 2 2 2 2 2 24 2 3 4" xfId="1960"/>
    <cellStyle name="Normal 2 2 2 2 2 2 24 2 3 5" xfId="1961"/>
    <cellStyle name="Normal 2 2 2 2 2 2 24 2 3 6" xfId="1962"/>
    <cellStyle name="Normal 2 2 2 2 2 2 24 2 3 7" xfId="1963"/>
    <cellStyle name="Normal 2 2 2 2 2 2 24 2 3 8" xfId="1964"/>
    <cellStyle name="Normal 2 2 2 2 2 2 24 2 3 9" xfId="1965"/>
    <cellStyle name="Normal 2 2 2 2 2 2 24 2 4" xfId="1966"/>
    <cellStyle name="Normal 2 2 2 2 2 2 24 2 4 10" xfId="1967"/>
    <cellStyle name="Normal 2 2 2 2 2 2 24 2 4 11" xfId="1968"/>
    <cellStyle name="Normal 2 2 2 2 2 2 24 2 4 2" xfId="1969"/>
    <cellStyle name="Normal 2 2 2 2 2 2 24 2 4 2 2" xfId="1970"/>
    <cellStyle name="Normal 2 2 2 2 2 2 24 2 4 3" xfId="1971"/>
    <cellStyle name="Normal 2 2 2 2 2 2 24 2 4 4" xfId="1972"/>
    <cellStyle name="Normal 2 2 2 2 2 2 24 2 4 5" xfId="1973"/>
    <cellStyle name="Normal 2 2 2 2 2 2 24 2 4 6" xfId="1974"/>
    <cellStyle name="Normal 2 2 2 2 2 2 24 2 4 7" xfId="1975"/>
    <cellStyle name="Normal 2 2 2 2 2 2 24 2 4 8" xfId="1976"/>
    <cellStyle name="Normal 2 2 2 2 2 2 24 2 4 9" xfId="1977"/>
    <cellStyle name="Normal 2 2 2 2 2 2 24 2 5" xfId="1978"/>
    <cellStyle name="Normal 2 2 2 2 2 2 24 2 5 2" xfId="1979"/>
    <cellStyle name="Normal 2 2 2 2 2 2 24 2 6" xfId="1980"/>
    <cellStyle name="Normal 2 2 2 2 2 2 24 2 7" xfId="1981"/>
    <cellStyle name="Normal 2 2 2 2 2 2 24 2 8" xfId="1982"/>
    <cellStyle name="Normal 2 2 2 2 2 2 24 2 9" xfId="1983"/>
    <cellStyle name="Normal 2 2 2 2 2 2 24 3" xfId="1984"/>
    <cellStyle name="Normal 2 2 2 2 2 2 24 3 10" xfId="1985"/>
    <cellStyle name="Normal 2 2 2 2 2 2 24 3 11" xfId="1986"/>
    <cellStyle name="Normal 2 2 2 2 2 2 24 3 12" xfId="1987"/>
    <cellStyle name="Normal 2 2 2 2 2 2 24 3 2" xfId="1988"/>
    <cellStyle name="Normal 2 2 2 2 2 2 24 3 2 10" xfId="1989"/>
    <cellStyle name="Normal 2 2 2 2 2 2 24 3 2 11" xfId="1990"/>
    <cellStyle name="Normal 2 2 2 2 2 2 24 3 2 12" xfId="1991"/>
    <cellStyle name="Normal 2 2 2 2 2 2 24 3 2 2" xfId="1992"/>
    <cellStyle name="Normal 2 2 2 2 2 2 24 3 2 2 10" xfId="1993"/>
    <cellStyle name="Normal 2 2 2 2 2 2 24 3 2 2 11" xfId="1994"/>
    <cellStyle name="Normal 2 2 2 2 2 2 24 3 2 2 2" xfId="1995"/>
    <cellStyle name="Normal 2 2 2 2 2 2 24 3 2 2 2 10" xfId="1996"/>
    <cellStyle name="Normal 2 2 2 2 2 2 24 3 2 2 2 11" xfId="1997"/>
    <cellStyle name="Normal 2 2 2 2 2 2 24 3 2 2 2 2" xfId="1998"/>
    <cellStyle name="Normal 2 2 2 2 2 2 24 3 2 2 2 2 2" xfId="1999"/>
    <cellStyle name="Normal 2 2 2 2 2 2 24 3 2 2 2 3" xfId="2000"/>
    <cellStyle name="Normal 2 2 2 2 2 2 24 3 2 2 2 4" xfId="2001"/>
    <cellStyle name="Normal 2 2 2 2 2 2 24 3 2 2 2 5" xfId="2002"/>
    <cellStyle name="Normal 2 2 2 2 2 2 24 3 2 2 2 6" xfId="2003"/>
    <cellStyle name="Normal 2 2 2 2 2 2 24 3 2 2 2 7" xfId="2004"/>
    <cellStyle name="Normal 2 2 2 2 2 2 24 3 2 2 2 8" xfId="2005"/>
    <cellStyle name="Normal 2 2 2 2 2 2 24 3 2 2 2 9" xfId="2006"/>
    <cellStyle name="Normal 2 2 2 2 2 2 24 3 2 2 3" xfId="2007"/>
    <cellStyle name="Normal 2 2 2 2 2 2 24 3 2 2 3 2" xfId="2008"/>
    <cellStyle name="Normal 2 2 2 2 2 2 24 3 2 2 4" xfId="2009"/>
    <cellStyle name="Normal 2 2 2 2 2 2 24 3 2 2 5" xfId="2010"/>
    <cellStyle name="Normal 2 2 2 2 2 2 24 3 2 2 6" xfId="2011"/>
    <cellStyle name="Normal 2 2 2 2 2 2 24 3 2 2 7" xfId="2012"/>
    <cellStyle name="Normal 2 2 2 2 2 2 24 3 2 2 8" xfId="2013"/>
    <cellStyle name="Normal 2 2 2 2 2 2 24 3 2 2 9" xfId="2014"/>
    <cellStyle name="Normal 2 2 2 2 2 2 24 3 2 3" xfId="2015"/>
    <cellStyle name="Normal 2 2 2 2 2 2 24 3 2 3 2" xfId="2016"/>
    <cellStyle name="Normal 2 2 2 2 2 2 24 3 2 4" xfId="2017"/>
    <cellStyle name="Normal 2 2 2 2 2 2 24 3 2 5" xfId="2018"/>
    <cellStyle name="Normal 2 2 2 2 2 2 24 3 2 6" xfId="2019"/>
    <cellStyle name="Normal 2 2 2 2 2 2 24 3 2 7" xfId="2020"/>
    <cellStyle name="Normal 2 2 2 2 2 2 24 3 2 8" xfId="2021"/>
    <cellStyle name="Normal 2 2 2 2 2 2 24 3 2 9" xfId="2022"/>
    <cellStyle name="Normal 2 2 2 2 2 2 24 3 3" xfId="2023"/>
    <cellStyle name="Normal 2 2 2 2 2 2 24 3 3 10" xfId="2024"/>
    <cellStyle name="Normal 2 2 2 2 2 2 24 3 3 11" xfId="2025"/>
    <cellStyle name="Normal 2 2 2 2 2 2 24 3 3 2" xfId="2026"/>
    <cellStyle name="Normal 2 2 2 2 2 2 24 3 3 2 2" xfId="2027"/>
    <cellStyle name="Normal 2 2 2 2 2 2 24 3 3 3" xfId="2028"/>
    <cellStyle name="Normal 2 2 2 2 2 2 24 3 3 4" xfId="2029"/>
    <cellStyle name="Normal 2 2 2 2 2 2 24 3 3 5" xfId="2030"/>
    <cellStyle name="Normal 2 2 2 2 2 2 24 3 3 6" xfId="2031"/>
    <cellStyle name="Normal 2 2 2 2 2 2 24 3 3 7" xfId="2032"/>
    <cellStyle name="Normal 2 2 2 2 2 2 24 3 3 8" xfId="2033"/>
    <cellStyle name="Normal 2 2 2 2 2 2 24 3 3 9" xfId="2034"/>
    <cellStyle name="Normal 2 2 2 2 2 2 24 3 4" xfId="2035"/>
    <cellStyle name="Normal 2 2 2 2 2 2 24 3 4 2" xfId="2036"/>
    <cellStyle name="Normal 2 2 2 2 2 2 24 3 5" xfId="2037"/>
    <cellStyle name="Normal 2 2 2 2 2 2 24 3 6" xfId="2038"/>
    <cellStyle name="Normal 2 2 2 2 2 2 24 3 7" xfId="2039"/>
    <cellStyle name="Normal 2 2 2 2 2 2 24 3 8" xfId="2040"/>
    <cellStyle name="Normal 2 2 2 2 2 2 24 3 9" xfId="2041"/>
    <cellStyle name="Normal 2 2 2 2 2 2 24 4" xfId="2042"/>
    <cellStyle name="Normal 2 2 2 2 2 2 24 4 10" xfId="2043"/>
    <cellStyle name="Normal 2 2 2 2 2 2 24 4 11" xfId="2044"/>
    <cellStyle name="Normal 2 2 2 2 2 2 24 4 2" xfId="2045"/>
    <cellStyle name="Normal 2 2 2 2 2 2 24 4 2 10" xfId="2046"/>
    <cellStyle name="Normal 2 2 2 2 2 2 24 4 2 11" xfId="2047"/>
    <cellStyle name="Normal 2 2 2 2 2 2 24 4 2 2" xfId="2048"/>
    <cellStyle name="Normal 2 2 2 2 2 2 24 4 2 2 2" xfId="2049"/>
    <cellStyle name="Normal 2 2 2 2 2 2 24 4 2 3" xfId="2050"/>
    <cellStyle name="Normal 2 2 2 2 2 2 24 4 2 4" xfId="2051"/>
    <cellStyle name="Normal 2 2 2 2 2 2 24 4 2 5" xfId="2052"/>
    <cellStyle name="Normal 2 2 2 2 2 2 24 4 2 6" xfId="2053"/>
    <cellStyle name="Normal 2 2 2 2 2 2 24 4 2 7" xfId="2054"/>
    <cellStyle name="Normal 2 2 2 2 2 2 24 4 2 8" xfId="2055"/>
    <cellStyle name="Normal 2 2 2 2 2 2 24 4 2 9" xfId="2056"/>
    <cellStyle name="Normal 2 2 2 2 2 2 24 4 3" xfId="2057"/>
    <cellStyle name="Normal 2 2 2 2 2 2 24 4 3 2" xfId="2058"/>
    <cellStyle name="Normal 2 2 2 2 2 2 24 4 4" xfId="2059"/>
    <cellStyle name="Normal 2 2 2 2 2 2 24 4 5" xfId="2060"/>
    <cellStyle name="Normal 2 2 2 2 2 2 24 4 6" xfId="2061"/>
    <cellStyle name="Normal 2 2 2 2 2 2 24 4 7" xfId="2062"/>
    <cellStyle name="Normal 2 2 2 2 2 2 24 4 8" xfId="2063"/>
    <cellStyle name="Normal 2 2 2 2 2 2 24 4 9" xfId="2064"/>
    <cellStyle name="Normal 2 2 2 2 2 2 24 5" xfId="2065"/>
    <cellStyle name="Normal 2 2 2 2 2 2 24 5 2" xfId="2066"/>
    <cellStyle name="Normal 2 2 2 2 2 2 24 6" xfId="2067"/>
    <cellStyle name="Normal 2 2 2 2 2 2 24 7" xfId="2068"/>
    <cellStyle name="Normal 2 2 2 2 2 2 24 8" xfId="2069"/>
    <cellStyle name="Normal 2 2 2 2 2 2 24 9" xfId="2070"/>
    <cellStyle name="Normal 2 2 2 2 2 2 25" xfId="2071"/>
    <cellStyle name="Normal 2 2 2 2 2 2 25 10" xfId="2072"/>
    <cellStyle name="Normal 2 2 2 2 2 2 25 11" xfId="2073"/>
    <cellStyle name="Normal 2 2 2 2 2 2 25 12" xfId="2074"/>
    <cellStyle name="Normal 2 2 2 2 2 2 25 13" xfId="2075"/>
    <cellStyle name="Normal 2 2 2 2 2 2 25 2" xfId="2076"/>
    <cellStyle name="Normal 2 2 2 2 2 2 25 2 10" xfId="2077"/>
    <cellStyle name="Normal 2 2 2 2 2 2 25 2 11" xfId="2078"/>
    <cellStyle name="Normal 2 2 2 2 2 2 25 2 12" xfId="2079"/>
    <cellStyle name="Normal 2 2 2 2 2 2 25 2 2" xfId="2080"/>
    <cellStyle name="Normal 2 2 2 2 2 2 25 2 2 10" xfId="2081"/>
    <cellStyle name="Normal 2 2 2 2 2 2 25 2 2 11" xfId="2082"/>
    <cellStyle name="Normal 2 2 2 2 2 2 25 2 2 12" xfId="2083"/>
    <cellStyle name="Normal 2 2 2 2 2 2 25 2 2 2" xfId="2084"/>
    <cellStyle name="Normal 2 2 2 2 2 2 25 2 2 2 10" xfId="2085"/>
    <cellStyle name="Normal 2 2 2 2 2 2 25 2 2 2 11" xfId="2086"/>
    <cellStyle name="Normal 2 2 2 2 2 2 25 2 2 2 2" xfId="2087"/>
    <cellStyle name="Normal 2 2 2 2 2 2 25 2 2 2 2 10" xfId="2088"/>
    <cellStyle name="Normal 2 2 2 2 2 2 25 2 2 2 2 11" xfId="2089"/>
    <cellStyle name="Normal 2 2 2 2 2 2 25 2 2 2 2 2" xfId="2090"/>
    <cellStyle name="Normal 2 2 2 2 2 2 25 2 2 2 2 2 2" xfId="2091"/>
    <cellStyle name="Normal 2 2 2 2 2 2 25 2 2 2 2 3" xfId="2092"/>
    <cellStyle name="Normal 2 2 2 2 2 2 25 2 2 2 2 4" xfId="2093"/>
    <cellStyle name="Normal 2 2 2 2 2 2 25 2 2 2 2 5" xfId="2094"/>
    <cellStyle name="Normal 2 2 2 2 2 2 25 2 2 2 2 6" xfId="2095"/>
    <cellStyle name="Normal 2 2 2 2 2 2 25 2 2 2 2 7" xfId="2096"/>
    <cellStyle name="Normal 2 2 2 2 2 2 25 2 2 2 2 8" xfId="2097"/>
    <cellStyle name="Normal 2 2 2 2 2 2 25 2 2 2 2 9" xfId="2098"/>
    <cellStyle name="Normal 2 2 2 2 2 2 25 2 2 2 3" xfId="2099"/>
    <cellStyle name="Normal 2 2 2 2 2 2 25 2 2 2 3 2" xfId="2100"/>
    <cellStyle name="Normal 2 2 2 2 2 2 25 2 2 2 4" xfId="2101"/>
    <cellStyle name="Normal 2 2 2 2 2 2 25 2 2 2 5" xfId="2102"/>
    <cellStyle name="Normal 2 2 2 2 2 2 25 2 2 2 6" xfId="2103"/>
    <cellStyle name="Normal 2 2 2 2 2 2 25 2 2 2 7" xfId="2104"/>
    <cellStyle name="Normal 2 2 2 2 2 2 25 2 2 2 8" xfId="2105"/>
    <cellStyle name="Normal 2 2 2 2 2 2 25 2 2 2 9" xfId="2106"/>
    <cellStyle name="Normal 2 2 2 2 2 2 25 2 2 3" xfId="2107"/>
    <cellStyle name="Normal 2 2 2 2 2 2 25 2 2 3 2" xfId="2108"/>
    <cellStyle name="Normal 2 2 2 2 2 2 25 2 2 4" xfId="2109"/>
    <cellStyle name="Normal 2 2 2 2 2 2 25 2 2 5" xfId="2110"/>
    <cellStyle name="Normal 2 2 2 2 2 2 25 2 2 6" xfId="2111"/>
    <cellStyle name="Normal 2 2 2 2 2 2 25 2 2 7" xfId="2112"/>
    <cellStyle name="Normal 2 2 2 2 2 2 25 2 2 8" xfId="2113"/>
    <cellStyle name="Normal 2 2 2 2 2 2 25 2 2 9" xfId="2114"/>
    <cellStyle name="Normal 2 2 2 2 2 2 25 2 3" xfId="2115"/>
    <cellStyle name="Normal 2 2 2 2 2 2 25 2 3 10" xfId="2116"/>
    <cellStyle name="Normal 2 2 2 2 2 2 25 2 3 11" xfId="2117"/>
    <cellStyle name="Normal 2 2 2 2 2 2 25 2 3 2" xfId="2118"/>
    <cellStyle name="Normal 2 2 2 2 2 2 25 2 3 2 2" xfId="2119"/>
    <cellStyle name="Normal 2 2 2 2 2 2 25 2 3 3" xfId="2120"/>
    <cellStyle name="Normal 2 2 2 2 2 2 25 2 3 4" xfId="2121"/>
    <cellStyle name="Normal 2 2 2 2 2 2 25 2 3 5" xfId="2122"/>
    <cellStyle name="Normal 2 2 2 2 2 2 25 2 3 6" xfId="2123"/>
    <cellStyle name="Normal 2 2 2 2 2 2 25 2 3 7" xfId="2124"/>
    <cellStyle name="Normal 2 2 2 2 2 2 25 2 3 8" xfId="2125"/>
    <cellStyle name="Normal 2 2 2 2 2 2 25 2 3 9" xfId="2126"/>
    <cellStyle name="Normal 2 2 2 2 2 2 25 2 4" xfId="2127"/>
    <cellStyle name="Normal 2 2 2 2 2 2 25 2 4 2" xfId="2128"/>
    <cellStyle name="Normal 2 2 2 2 2 2 25 2 5" xfId="2129"/>
    <cellStyle name="Normal 2 2 2 2 2 2 25 2 6" xfId="2130"/>
    <cellStyle name="Normal 2 2 2 2 2 2 25 2 7" xfId="2131"/>
    <cellStyle name="Normal 2 2 2 2 2 2 25 2 8" xfId="2132"/>
    <cellStyle name="Normal 2 2 2 2 2 2 25 2 9" xfId="2133"/>
    <cellStyle name="Normal 2 2 2 2 2 2 25 3" xfId="2134"/>
    <cellStyle name="Normal 2 2 2 2 2 2 25 3 10" xfId="2135"/>
    <cellStyle name="Normal 2 2 2 2 2 2 25 3 11" xfId="2136"/>
    <cellStyle name="Normal 2 2 2 2 2 2 25 3 2" xfId="2137"/>
    <cellStyle name="Normal 2 2 2 2 2 2 25 3 2 10" xfId="2138"/>
    <cellStyle name="Normal 2 2 2 2 2 2 25 3 2 11" xfId="2139"/>
    <cellStyle name="Normal 2 2 2 2 2 2 25 3 2 2" xfId="2140"/>
    <cellStyle name="Normal 2 2 2 2 2 2 25 3 2 2 2" xfId="2141"/>
    <cellStyle name="Normal 2 2 2 2 2 2 25 3 2 3" xfId="2142"/>
    <cellStyle name="Normal 2 2 2 2 2 2 25 3 2 4" xfId="2143"/>
    <cellStyle name="Normal 2 2 2 2 2 2 25 3 2 5" xfId="2144"/>
    <cellStyle name="Normal 2 2 2 2 2 2 25 3 2 6" xfId="2145"/>
    <cellStyle name="Normal 2 2 2 2 2 2 25 3 2 7" xfId="2146"/>
    <cellStyle name="Normal 2 2 2 2 2 2 25 3 2 8" xfId="2147"/>
    <cellStyle name="Normal 2 2 2 2 2 2 25 3 2 9" xfId="2148"/>
    <cellStyle name="Normal 2 2 2 2 2 2 25 3 3" xfId="2149"/>
    <cellStyle name="Normal 2 2 2 2 2 2 25 3 3 2" xfId="2150"/>
    <cellStyle name="Normal 2 2 2 2 2 2 25 3 4" xfId="2151"/>
    <cellStyle name="Normal 2 2 2 2 2 2 25 3 5" xfId="2152"/>
    <cellStyle name="Normal 2 2 2 2 2 2 25 3 6" xfId="2153"/>
    <cellStyle name="Normal 2 2 2 2 2 2 25 3 7" xfId="2154"/>
    <cellStyle name="Normal 2 2 2 2 2 2 25 3 8" xfId="2155"/>
    <cellStyle name="Normal 2 2 2 2 2 2 25 3 9" xfId="2156"/>
    <cellStyle name="Normal 2 2 2 2 2 2 25 4" xfId="2157"/>
    <cellStyle name="Normal 2 2 2 2 2 2 25 4 2" xfId="2158"/>
    <cellStyle name="Normal 2 2 2 2 2 2 25 5" xfId="2159"/>
    <cellStyle name="Normal 2 2 2 2 2 2 25 6" xfId="2160"/>
    <cellStyle name="Normal 2 2 2 2 2 2 25 7" xfId="2161"/>
    <cellStyle name="Normal 2 2 2 2 2 2 25 8" xfId="2162"/>
    <cellStyle name="Normal 2 2 2 2 2 2 25 9" xfId="2163"/>
    <cellStyle name="Normal 2 2 2 2 2 2 26" xfId="2164"/>
    <cellStyle name="Normal 2 2 2 2 2 2 26 10" xfId="2165"/>
    <cellStyle name="Normal 2 2 2 2 2 2 26 11" xfId="2166"/>
    <cellStyle name="Normal 2 2 2 2 2 2 26 12" xfId="2167"/>
    <cellStyle name="Normal 2 2 2 2 2 2 26 2" xfId="2168"/>
    <cellStyle name="Normal 2 2 2 2 2 2 26 2 10" xfId="2169"/>
    <cellStyle name="Normal 2 2 2 2 2 2 26 2 11" xfId="2170"/>
    <cellStyle name="Normal 2 2 2 2 2 2 26 2 2" xfId="2171"/>
    <cellStyle name="Normal 2 2 2 2 2 2 26 2 2 10" xfId="2172"/>
    <cellStyle name="Normal 2 2 2 2 2 2 26 2 2 11" xfId="2173"/>
    <cellStyle name="Normal 2 2 2 2 2 2 26 2 2 2" xfId="2174"/>
    <cellStyle name="Normal 2 2 2 2 2 2 26 2 2 2 2" xfId="2175"/>
    <cellStyle name="Normal 2 2 2 2 2 2 26 2 2 3" xfId="2176"/>
    <cellStyle name="Normal 2 2 2 2 2 2 26 2 2 4" xfId="2177"/>
    <cellStyle name="Normal 2 2 2 2 2 2 26 2 2 5" xfId="2178"/>
    <cellStyle name="Normal 2 2 2 2 2 2 26 2 2 6" xfId="2179"/>
    <cellStyle name="Normal 2 2 2 2 2 2 26 2 2 7" xfId="2180"/>
    <cellStyle name="Normal 2 2 2 2 2 2 26 2 2 8" xfId="2181"/>
    <cellStyle name="Normal 2 2 2 2 2 2 26 2 2 9" xfId="2182"/>
    <cellStyle name="Normal 2 2 2 2 2 2 26 2 3" xfId="2183"/>
    <cellStyle name="Normal 2 2 2 2 2 2 26 2 3 2" xfId="2184"/>
    <cellStyle name="Normal 2 2 2 2 2 2 26 2 4" xfId="2185"/>
    <cellStyle name="Normal 2 2 2 2 2 2 26 2 5" xfId="2186"/>
    <cellStyle name="Normal 2 2 2 2 2 2 26 2 6" xfId="2187"/>
    <cellStyle name="Normal 2 2 2 2 2 2 26 2 7" xfId="2188"/>
    <cellStyle name="Normal 2 2 2 2 2 2 26 2 8" xfId="2189"/>
    <cellStyle name="Normal 2 2 2 2 2 2 26 2 9" xfId="2190"/>
    <cellStyle name="Normal 2 2 2 2 2 2 26 3" xfId="2191"/>
    <cellStyle name="Normal 2 2 2 2 2 2 26 3 2" xfId="2192"/>
    <cellStyle name="Normal 2 2 2 2 2 2 26 4" xfId="2193"/>
    <cellStyle name="Normal 2 2 2 2 2 2 26 5" xfId="2194"/>
    <cellStyle name="Normal 2 2 2 2 2 2 26 6" xfId="2195"/>
    <cellStyle name="Normal 2 2 2 2 2 2 26 7" xfId="2196"/>
    <cellStyle name="Normal 2 2 2 2 2 2 26 8" xfId="2197"/>
    <cellStyle name="Normal 2 2 2 2 2 2 26 9" xfId="2198"/>
    <cellStyle name="Normal 2 2 2 2 2 2 27" xfId="2199"/>
    <cellStyle name="Normal 2 2 2 2 2 2 27 10" xfId="2200"/>
    <cellStyle name="Normal 2 2 2 2 2 2 27 11" xfId="2201"/>
    <cellStyle name="Normal 2 2 2 2 2 2 27 2" xfId="2202"/>
    <cellStyle name="Normal 2 2 2 2 2 2 27 2 2" xfId="2203"/>
    <cellStyle name="Normal 2 2 2 2 2 2 27 3" xfId="2204"/>
    <cellStyle name="Normal 2 2 2 2 2 2 27 4" xfId="2205"/>
    <cellStyle name="Normal 2 2 2 2 2 2 27 5" xfId="2206"/>
    <cellStyle name="Normal 2 2 2 2 2 2 27 6" xfId="2207"/>
    <cellStyle name="Normal 2 2 2 2 2 2 27 7" xfId="2208"/>
    <cellStyle name="Normal 2 2 2 2 2 2 27 8" xfId="2209"/>
    <cellStyle name="Normal 2 2 2 2 2 2 27 9" xfId="2210"/>
    <cellStyle name="Normal 2 2 2 2 2 2 28" xfId="2211"/>
    <cellStyle name="Normal 2 2 2 2 2 2 28 2" xfId="2212"/>
    <cellStyle name="Normal 2 2 2 2 2 2 29" xfId="2213"/>
    <cellStyle name="Normal 2 2 2 2 2 2 3" xfId="2214"/>
    <cellStyle name="Normal 2 2 2 2 2 2 30" xfId="2215"/>
    <cellStyle name="Normal 2 2 2 2 2 2 31" xfId="2216"/>
    <cellStyle name="Normal 2 2 2 2 2 2 32" xfId="2217"/>
    <cellStyle name="Normal 2 2 2 2 2 2 33" xfId="2218"/>
    <cellStyle name="Normal 2 2 2 2 2 2 34" xfId="2219"/>
    <cellStyle name="Normal 2 2 2 2 2 2 35" xfId="2220"/>
    <cellStyle name="Normal 2 2 2 2 2 2 36" xfId="2221"/>
    <cellStyle name="Normal 2 2 2 2 2 2 37" xfId="2222"/>
    <cellStyle name="Normal 2 2 2 2 2 2 37 2" xfId="2223"/>
    <cellStyle name="Normal 2 2 2 2 2 2 38" xfId="2224"/>
    <cellStyle name="Normal 2 2 2 2 2 2 39" xfId="2225"/>
    <cellStyle name="Normal 2 2 2 2 2 2 4" xfId="2226"/>
    <cellStyle name="Normal 2 2 2 2 2 2 4 2" xfId="2227"/>
    <cellStyle name="Normal 2 2 2 2 2 2 4 2 2" xfId="2228"/>
    <cellStyle name="Normal 2 2 2 2 2 2 40" xfId="2229"/>
    <cellStyle name="Normal 2 2 2 2 2 2 41" xfId="2230"/>
    <cellStyle name="Normal 2 2 2 2 2 2 41 2" xfId="2231"/>
    <cellStyle name="Normal 2 2 2 2 2 2 42" xfId="2232"/>
    <cellStyle name="Normal 2 2 2 2 2 2 43" xfId="2233"/>
    <cellStyle name="Normal 2 2 2 2 2 2 44" xfId="2234"/>
    <cellStyle name="Normal 2 2 2 2 2 2 5" xfId="2235"/>
    <cellStyle name="Normal 2 2 2 2 2 2 5 2" xfId="2236"/>
    <cellStyle name="Normal 2 2 2 2 2 2 6" xfId="2237"/>
    <cellStyle name="Normal 2 2 2 2 2 2 7" xfId="2238"/>
    <cellStyle name="Normal 2 2 2 2 2 2 8" xfId="2239"/>
    <cellStyle name="Normal 2 2 2 2 2 2 9" xfId="2240"/>
    <cellStyle name="Normal 2 2 2 2 2 20" xfId="2241"/>
    <cellStyle name="Normal 2 2 2 2 2 21" xfId="2242"/>
    <cellStyle name="Normal 2 2 2 2 2 22" xfId="2243"/>
    <cellStyle name="Normal 2 2 2 2 2 23" xfId="2244"/>
    <cellStyle name="Normal 2 2 2 2 2 23 10" xfId="2245"/>
    <cellStyle name="Normal 2 2 2 2 2 23 11" xfId="2246"/>
    <cellStyle name="Normal 2 2 2 2 2 23 12" xfId="2247"/>
    <cellStyle name="Normal 2 2 2 2 2 23 13" xfId="2248"/>
    <cellStyle name="Normal 2 2 2 2 2 23 14" xfId="2249"/>
    <cellStyle name="Normal 2 2 2 2 2 23 15" xfId="2250"/>
    <cellStyle name="Normal 2 2 2 2 2 23 2" xfId="2251"/>
    <cellStyle name="Normal 2 2 2 2 2 23 2 10" xfId="2252"/>
    <cellStyle name="Normal 2 2 2 2 2 23 2 11" xfId="2253"/>
    <cellStyle name="Normal 2 2 2 2 2 23 2 12" xfId="2254"/>
    <cellStyle name="Normal 2 2 2 2 2 23 2 13" xfId="2255"/>
    <cellStyle name="Normal 2 2 2 2 2 23 2 14" xfId="2256"/>
    <cellStyle name="Normal 2 2 2 2 2 23 2 2" xfId="2257"/>
    <cellStyle name="Normal 2 2 2 2 2 23 2 2 10" xfId="2258"/>
    <cellStyle name="Normal 2 2 2 2 2 23 2 2 11" xfId="2259"/>
    <cellStyle name="Normal 2 2 2 2 2 23 2 2 12" xfId="2260"/>
    <cellStyle name="Normal 2 2 2 2 2 23 2 2 13" xfId="2261"/>
    <cellStyle name="Normal 2 2 2 2 2 23 2 2 14" xfId="2262"/>
    <cellStyle name="Normal 2 2 2 2 2 23 2 2 2" xfId="2263"/>
    <cellStyle name="Normal 2 2 2 2 2 23 2 2 2 10" xfId="2264"/>
    <cellStyle name="Normal 2 2 2 2 2 23 2 2 2 11" xfId="2265"/>
    <cellStyle name="Normal 2 2 2 2 2 23 2 2 2 12" xfId="2266"/>
    <cellStyle name="Normal 2 2 2 2 2 23 2 2 2 13" xfId="2267"/>
    <cellStyle name="Normal 2 2 2 2 2 23 2 2 2 2" xfId="2268"/>
    <cellStyle name="Normal 2 2 2 2 2 23 2 2 2 2 10" xfId="2269"/>
    <cellStyle name="Normal 2 2 2 2 2 23 2 2 2 2 11" xfId="2270"/>
    <cellStyle name="Normal 2 2 2 2 2 23 2 2 2 2 12" xfId="2271"/>
    <cellStyle name="Normal 2 2 2 2 2 23 2 2 2 2 13" xfId="2272"/>
    <cellStyle name="Normal 2 2 2 2 2 23 2 2 2 2 2" xfId="2273"/>
    <cellStyle name="Normal 2 2 2 2 2 23 2 2 2 2 2 10" xfId="2274"/>
    <cellStyle name="Normal 2 2 2 2 2 23 2 2 2 2 2 11" xfId="2275"/>
    <cellStyle name="Normal 2 2 2 2 2 23 2 2 2 2 2 12" xfId="2276"/>
    <cellStyle name="Normal 2 2 2 2 2 23 2 2 2 2 2 2" xfId="2277"/>
    <cellStyle name="Normal 2 2 2 2 2 23 2 2 2 2 2 2 10" xfId="2278"/>
    <cellStyle name="Normal 2 2 2 2 2 23 2 2 2 2 2 2 11" xfId="2279"/>
    <cellStyle name="Normal 2 2 2 2 2 23 2 2 2 2 2 2 12" xfId="2280"/>
    <cellStyle name="Normal 2 2 2 2 2 23 2 2 2 2 2 2 2" xfId="2281"/>
    <cellStyle name="Normal 2 2 2 2 2 23 2 2 2 2 2 2 2 10" xfId="2282"/>
    <cellStyle name="Normal 2 2 2 2 2 23 2 2 2 2 2 2 2 11" xfId="2283"/>
    <cellStyle name="Normal 2 2 2 2 2 23 2 2 2 2 2 2 2 2" xfId="2284"/>
    <cellStyle name="Normal 2 2 2 2 2 23 2 2 2 2 2 2 2 2 10" xfId="2285"/>
    <cellStyle name="Normal 2 2 2 2 2 23 2 2 2 2 2 2 2 2 11" xfId="2286"/>
    <cellStyle name="Normal 2 2 2 2 2 23 2 2 2 2 2 2 2 2 2" xfId="2287"/>
    <cellStyle name="Normal 2 2 2 2 2 23 2 2 2 2 2 2 2 2 2 2" xfId="2288"/>
    <cellStyle name="Normal 2 2 2 2 2 23 2 2 2 2 2 2 2 2 3" xfId="2289"/>
    <cellStyle name="Normal 2 2 2 2 2 23 2 2 2 2 2 2 2 2 4" xfId="2290"/>
    <cellStyle name="Normal 2 2 2 2 2 23 2 2 2 2 2 2 2 2 5" xfId="2291"/>
    <cellStyle name="Normal 2 2 2 2 2 23 2 2 2 2 2 2 2 2 6" xfId="2292"/>
    <cellStyle name="Normal 2 2 2 2 2 23 2 2 2 2 2 2 2 2 7" xfId="2293"/>
    <cellStyle name="Normal 2 2 2 2 2 23 2 2 2 2 2 2 2 2 8" xfId="2294"/>
    <cellStyle name="Normal 2 2 2 2 2 23 2 2 2 2 2 2 2 2 9" xfId="2295"/>
    <cellStyle name="Normal 2 2 2 2 2 23 2 2 2 2 2 2 2 3" xfId="2296"/>
    <cellStyle name="Normal 2 2 2 2 2 23 2 2 2 2 2 2 2 3 2" xfId="2297"/>
    <cellStyle name="Normal 2 2 2 2 2 23 2 2 2 2 2 2 2 4" xfId="2298"/>
    <cellStyle name="Normal 2 2 2 2 2 23 2 2 2 2 2 2 2 5" xfId="2299"/>
    <cellStyle name="Normal 2 2 2 2 2 23 2 2 2 2 2 2 2 6" xfId="2300"/>
    <cellStyle name="Normal 2 2 2 2 2 23 2 2 2 2 2 2 2 7" xfId="2301"/>
    <cellStyle name="Normal 2 2 2 2 2 23 2 2 2 2 2 2 2 8" xfId="2302"/>
    <cellStyle name="Normal 2 2 2 2 2 23 2 2 2 2 2 2 2 9" xfId="2303"/>
    <cellStyle name="Normal 2 2 2 2 2 23 2 2 2 2 2 2 3" xfId="2304"/>
    <cellStyle name="Normal 2 2 2 2 2 23 2 2 2 2 2 2 3 2" xfId="2305"/>
    <cellStyle name="Normal 2 2 2 2 2 23 2 2 2 2 2 2 4" xfId="2306"/>
    <cellStyle name="Normal 2 2 2 2 2 23 2 2 2 2 2 2 5" xfId="2307"/>
    <cellStyle name="Normal 2 2 2 2 2 23 2 2 2 2 2 2 6" xfId="2308"/>
    <cellStyle name="Normal 2 2 2 2 2 23 2 2 2 2 2 2 7" xfId="2309"/>
    <cellStyle name="Normal 2 2 2 2 2 23 2 2 2 2 2 2 8" xfId="2310"/>
    <cellStyle name="Normal 2 2 2 2 2 23 2 2 2 2 2 2 9" xfId="2311"/>
    <cellStyle name="Normal 2 2 2 2 2 23 2 2 2 2 2 3" xfId="2312"/>
    <cellStyle name="Normal 2 2 2 2 2 23 2 2 2 2 2 3 10" xfId="2313"/>
    <cellStyle name="Normal 2 2 2 2 2 23 2 2 2 2 2 3 11" xfId="2314"/>
    <cellStyle name="Normal 2 2 2 2 2 23 2 2 2 2 2 3 2" xfId="2315"/>
    <cellStyle name="Normal 2 2 2 2 2 23 2 2 2 2 2 3 2 2" xfId="2316"/>
    <cellStyle name="Normal 2 2 2 2 2 23 2 2 2 2 2 3 3" xfId="2317"/>
    <cellStyle name="Normal 2 2 2 2 2 23 2 2 2 2 2 3 4" xfId="2318"/>
    <cellStyle name="Normal 2 2 2 2 2 23 2 2 2 2 2 3 5" xfId="2319"/>
    <cellStyle name="Normal 2 2 2 2 2 23 2 2 2 2 2 3 6" xfId="2320"/>
    <cellStyle name="Normal 2 2 2 2 2 23 2 2 2 2 2 3 7" xfId="2321"/>
    <cellStyle name="Normal 2 2 2 2 2 23 2 2 2 2 2 3 8" xfId="2322"/>
    <cellStyle name="Normal 2 2 2 2 2 23 2 2 2 2 2 3 9" xfId="2323"/>
    <cellStyle name="Normal 2 2 2 2 2 23 2 2 2 2 2 4" xfId="2324"/>
    <cellStyle name="Normal 2 2 2 2 2 23 2 2 2 2 2 4 2" xfId="2325"/>
    <cellStyle name="Normal 2 2 2 2 2 23 2 2 2 2 2 5" xfId="2326"/>
    <cellStyle name="Normal 2 2 2 2 2 23 2 2 2 2 2 6" xfId="2327"/>
    <cellStyle name="Normal 2 2 2 2 2 23 2 2 2 2 2 7" xfId="2328"/>
    <cellStyle name="Normal 2 2 2 2 2 23 2 2 2 2 2 8" xfId="2329"/>
    <cellStyle name="Normal 2 2 2 2 2 23 2 2 2 2 2 9" xfId="2330"/>
    <cellStyle name="Normal 2 2 2 2 2 23 2 2 2 2 3" xfId="2331"/>
    <cellStyle name="Normal 2 2 2 2 2 23 2 2 2 2 3 10" xfId="2332"/>
    <cellStyle name="Normal 2 2 2 2 2 23 2 2 2 2 3 11" xfId="2333"/>
    <cellStyle name="Normal 2 2 2 2 2 23 2 2 2 2 3 2" xfId="2334"/>
    <cellStyle name="Normal 2 2 2 2 2 23 2 2 2 2 3 2 10" xfId="2335"/>
    <cellStyle name="Normal 2 2 2 2 2 23 2 2 2 2 3 2 11" xfId="2336"/>
    <cellStyle name="Normal 2 2 2 2 2 23 2 2 2 2 3 2 2" xfId="2337"/>
    <cellStyle name="Normal 2 2 2 2 2 23 2 2 2 2 3 2 2 2" xfId="2338"/>
    <cellStyle name="Normal 2 2 2 2 2 23 2 2 2 2 3 2 3" xfId="2339"/>
    <cellStyle name="Normal 2 2 2 2 2 23 2 2 2 2 3 2 4" xfId="2340"/>
    <cellStyle name="Normal 2 2 2 2 2 23 2 2 2 2 3 2 5" xfId="2341"/>
    <cellStyle name="Normal 2 2 2 2 2 23 2 2 2 2 3 2 6" xfId="2342"/>
    <cellStyle name="Normal 2 2 2 2 2 23 2 2 2 2 3 2 7" xfId="2343"/>
    <cellStyle name="Normal 2 2 2 2 2 23 2 2 2 2 3 2 8" xfId="2344"/>
    <cellStyle name="Normal 2 2 2 2 2 23 2 2 2 2 3 2 9" xfId="2345"/>
    <cellStyle name="Normal 2 2 2 2 2 23 2 2 2 2 3 3" xfId="2346"/>
    <cellStyle name="Normal 2 2 2 2 2 23 2 2 2 2 3 3 2" xfId="2347"/>
    <cellStyle name="Normal 2 2 2 2 2 23 2 2 2 2 3 4" xfId="2348"/>
    <cellStyle name="Normal 2 2 2 2 2 23 2 2 2 2 3 5" xfId="2349"/>
    <cellStyle name="Normal 2 2 2 2 2 23 2 2 2 2 3 6" xfId="2350"/>
    <cellStyle name="Normal 2 2 2 2 2 23 2 2 2 2 3 7" xfId="2351"/>
    <cellStyle name="Normal 2 2 2 2 2 23 2 2 2 2 3 8" xfId="2352"/>
    <cellStyle name="Normal 2 2 2 2 2 23 2 2 2 2 3 9" xfId="2353"/>
    <cellStyle name="Normal 2 2 2 2 2 23 2 2 2 2 4" xfId="2354"/>
    <cellStyle name="Normal 2 2 2 2 2 23 2 2 2 2 4 2" xfId="2355"/>
    <cellStyle name="Normal 2 2 2 2 2 23 2 2 2 2 5" xfId="2356"/>
    <cellStyle name="Normal 2 2 2 2 2 23 2 2 2 2 6" xfId="2357"/>
    <cellStyle name="Normal 2 2 2 2 2 23 2 2 2 2 7" xfId="2358"/>
    <cellStyle name="Normal 2 2 2 2 2 23 2 2 2 2 8" xfId="2359"/>
    <cellStyle name="Normal 2 2 2 2 2 23 2 2 2 2 9" xfId="2360"/>
    <cellStyle name="Normal 2 2 2 2 2 23 2 2 2 3" xfId="2361"/>
    <cellStyle name="Normal 2 2 2 2 2 23 2 2 2 3 10" xfId="2362"/>
    <cellStyle name="Normal 2 2 2 2 2 23 2 2 2 3 11" xfId="2363"/>
    <cellStyle name="Normal 2 2 2 2 2 23 2 2 2 3 12" xfId="2364"/>
    <cellStyle name="Normal 2 2 2 2 2 23 2 2 2 3 2" xfId="2365"/>
    <cellStyle name="Normal 2 2 2 2 2 23 2 2 2 3 2 10" xfId="2366"/>
    <cellStyle name="Normal 2 2 2 2 2 23 2 2 2 3 2 11" xfId="2367"/>
    <cellStyle name="Normal 2 2 2 2 2 23 2 2 2 3 2 2" xfId="2368"/>
    <cellStyle name="Normal 2 2 2 2 2 23 2 2 2 3 2 2 10" xfId="2369"/>
    <cellStyle name="Normal 2 2 2 2 2 23 2 2 2 3 2 2 11" xfId="2370"/>
    <cellStyle name="Normal 2 2 2 2 2 23 2 2 2 3 2 2 2" xfId="2371"/>
    <cellStyle name="Normal 2 2 2 2 2 23 2 2 2 3 2 2 2 2" xfId="2372"/>
    <cellStyle name="Normal 2 2 2 2 2 23 2 2 2 3 2 2 3" xfId="2373"/>
    <cellStyle name="Normal 2 2 2 2 2 23 2 2 2 3 2 2 4" xfId="2374"/>
    <cellStyle name="Normal 2 2 2 2 2 23 2 2 2 3 2 2 5" xfId="2375"/>
    <cellStyle name="Normal 2 2 2 2 2 23 2 2 2 3 2 2 6" xfId="2376"/>
    <cellStyle name="Normal 2 2 2 2 2 23 2 2 2 3 2 2 7" xfId="2377"/>
    <cellStyle name="Normal 2 2 2 2 2 23 2 2 2 3 2 2 8" xfId="2378"/>
    <cellStyle name="Normal 2 2 2 2 2 23 2 2 2 3 2 2 9" xfId="2379"/>
    <cellStyle name="Normal 2 2 2 2 2 23 2 2 2 3 2 3" xfId="2380"/>
    <cellStyle name="Normal 2 2 2 2 2 23 2 2 2 3 2 3 2" xfId="2381"/>
    <cellStyle name="Normal 2 2 2 2 2 23 2 2 2 3 2 4" xfId="2382"/>
    <cellStyle name="Normal 2 2 2 2 2 23 2 2 2 3 2 5" xfId="2383"/>
    <cellStyle name="Normal 2 2 2 2 2 23 2 2 2 3 2 6" xfId="2384"/>
    <cellStyle name="Normal 2 2 2 2 2 23 2 2 2 3 2 7" xfId="2385"/>
    <cellStyle name="Normal 2 2 2 2 2 23 2 2 2 3 2 8" xfId="2386"/>
    <cellStyle name="Normal 2 2 2 2 2 23 2 2 2 3 2 9" xfId="2387"/>
    <cellStyle name="Normal 2 2 2 2 2 23 2 2 2 3 3" xfId="2388"/>
    <cellStyle name="Normal 2 2 2 2 2 23 2 2 2 3 3 2" xfId="2389"/>
    <cellStyle name="Normal 2 2 2 2 2 23 2 2 2 3 4" xfId="2390"/>
    <cellStyle name="Normal 2 2 2 2 2 23 2 2 2 3 5" xfId="2391"/>
    <cellStyle name="Normal 2 2 2 2 2 23 2 2 2 3 6" xfId="2392"/>
    <cellStyle name="Normal 2 2 2 2 2 23 2 2 2 3 7" xfId="2393"/>
    <cellStyle name="Normal 2 2 2 2 2 23 2 2 2 3 8" xfId="2394"/>
    <cellStyle name="Normal 2 2 2 2 2 23 2 2 2 3 9" xfId="2395"/>
    <cellStyle name="Normal 2 2 2 2 2 23 2 2 2 4" xfId="2396"/>
    <cellStyle name="Normal 2 2 2 2 2 23 2 2 2 4 10" xfId="2397"/>
    <cellStyle name="Normal 2 2 2 2 2 23 2 2 2 4 11" xfId="2398"/>
    <cellStyle name="Normal 2 2 2 2 2 23 2 2 2 4 2" xfId="2399"/>
    <cellStyle name="Normal 2 2 2 2 2 23 2 2 2 4 2 2" xfId="2400"/>
    <cellStyle name="Normal 2 2 2 2 2 23 2 2 2 4 3" xfId="2401"/>
    <cellStyle name="Normal 2 2 2 2 2 23 2 2 2 4 4" xfId="2402"/>
    <cellStyle name="Normal 2 2 2 2 2 23 2 2 2 4 5" xfId="2403"/>
    <cellStyle name="Normal 2 2 2 2 2 23 2 2 2 4 6" xfId="2404"/>
    <cellStyle name="Normal 2 2 2 2 2 23 2 2 2 4 7" xfId="2405"/>
    <cellStyle name="Normal 2 2 2 2 2 23 2 2 2 4 8" xfId="2406"/>
    <cellStyle name="Normal 2 2 2 2 2 23 2 2 2 4 9" xfId="2407"/>
    <cellStyle name="Normal 2 2 2 2 2 23 2 2 2 5" xfId="2408"/>
    <cellStyle name="Normal 2 2 2 2 2 23 2 2 2 5 2" xfId="2409"/>
    <cellStyle name="Normal 2 2 2 2 2 23 2 2 2 6" xfId="2410"/>
    <cellStyle name="Normal 2 2 2 2 2 23 2 2 2 7" xfId="2411"/>
    <cellStyle name="Normal 2 2 2 2 2 23 2 2 2 8" xfId="2412"/>
    <cellStyle name="Normal 2 2 2 2 2 23 2 2 2 9" xfId="2413"/>
    <cellStyle name="Normal 2 2 2 2 2 23 2 2 3" xfId="2414"/>
    <cellStyle name="Normal 2 2 2 2 2 23 2 2 3 10" xfId="2415"/>
    <cellStyle name="Normal 2 2 2 2 2 23 2 2 3 11" xfId="2416"/>
    <cellStyle name="Normal 2 2 2 2 2 23 2 2 3 12" xfId="2417"/>
    <cellStyle name="Normal 2 2 2 2 2 23 2 2 3 2" xfId="2418"/>
    <cellStyle name="Normal 2 2 2 2 2 23 2 2 3 2 10" xfId="2419"/>
    <cellStyle name="Normal 2 2 2 2 2 23 2 2 3 2 11" xfId="2420"/>
    <cellStyle name="Normal 2 2 2 2 2 23 2 2 3 2 12" xfId="2421"/>
    <cellStyle name="Normal 2 2 2 2 2 23 2 2 3 2 2" xfId="2422"/>
    <cellStyle name="Normal 2 2 2 2 2 23 2 2 3 2 2 10" xfId="2423"/>
    <cellStyle name="Normal 2 2 2 2 2 23 2 2 3 2 2 11" xfId="2424"/>
    <cellStyle name="Normal 2 2 2 2 2 23 2 2 3 2 2 2" xfId="2425"/>
    <cellStyle name="Normal 2 2 2 2 2 23 2 2 3 2 2 2 10" xfId="2426"/>
    <cellStyle name="Normal 2 2 2 2 2 23 2 2 3 2 2 2 11" xfId="2427"/>
    <cellStyle name="Normal 2 2 2 2 2 23 2 2 3 2 2 2 2" xfId="2428"/>
    <cellStyle name="Normal 2 2 2 2 2 23 2 2 3 2 2 2 2 2" xfId="2429"/>
    <cellStyle name="Normal 2 2 2 2 2 23 2 2 3 2 2 2 3" xfId="2430"/>
    <cellStyle name="Normal 2 2 2 2 2 23 2 2 3 2 2 2 4" xfId="2431"/>
    <cellStyle name="Normal 2 2 2 2 2 23 2 2 3 2 2 2 5" xfId="2432"/>
    <cellStyle name="Normal 2 2 2 2 2 23 2 2 3 2 2 2 6" xfId="2433"/>
    <cellStyle name="Normal 2 2 2 2 2 23 2 2 3 2 2 2 7" xfId="2434"/>
    <cellStyle name="Normal 2 2 2 2 2 23 2 2 3 2 2 2 8" xfId="2435"/>
    <cellStyle name="Normal 2 2 2 2 2 23 2 2 3 2 2 2 9" xfId="2436"/>
    <cellStyle name="Normal 2 2 2 2 2 23 2 2 3 2 2 3" xfId="2437"/>
    <cellStyle name="Normal 2 2 2 2 2 23 2 2 3 2 2 3 2" xfId="2438"/>
    <cellStyle name="Normal 2 2 2 2 2 23 2 2 3 2 2 4" xfId="2439"/>
    <cellStyle name="Normal 2 2 2 2 2 23 2 2 3 2 2 5" xfId="2440"/>
    <cellStyle name="Normal 2 2 2 2 2 23 2 2 3 2 2 6" xfId="2441"/>
    <cellStyle name="Normal 2 2 2 2 2 23 2 2 3 2 2 7" xfId="2442"/>
    <cellStyle name="Normal 2 2 2 2 2 23 2 2 3 2 2 8" xfId="2443"/>
    <cellStyle name="Normal 2 2 2 2 2 23 2 2 3 2 2 9" xfId="2444"/>
    <cellStyle name="Normal 2 2 2 2 2 23 2 2 3 2 3" xfId="2445"/>
    <cellStyle name="Normal 2 2 2 2 2 23 2 2 3 2 3 2" xfId="2446"/>
    <cellStyle name="Normal 2 2 2 2 2 23 2 2 3 2 4" xfId="2447"/>
    <cellStyle name="Normal 2 2 2 2 2 23 2 2 3 2 5" xfId="2448"/>
    <cellStyle name="Normal 2 2 2 2 2 23 2 2 3 2 6" xfId="2449"/>
    <cellStyle name="Normal 2 2 2 2 2 23 2 2 3 2 7" xfId="2450"/>
    <cellStyle name="Normal 2 2 2 2 2 23 2 2 3 2 8" xfId="2451"/>
    <cellStyle name="Normal 2 2 2 2 2 23 2 2 3 2 9" xfId="2452"/>
    <cellStyle name="Normal 2 2 2 2 2 23 2 2 3 3" xfId="2453"/>
    <cellStyle name="Normal 2 2 2 2 2 23 2 2 3 3 10" xfId="2454"/>
    <cellStyle name="Normal 2 2 2 2 2 23 2 2 3 3 11" xfId="2455"/>
    <cellStyle name="Normal 2 2 2 2 2 23 2 2 3 3 2" xfId="2456"/>
    <cellStyle name="Normal 2 2 2 2 2 23 2 2 3 3 2 2" xfId="2457"/>
    <cellStyle name="Normal 2 2 2 2 2 23 2 2 3 3 3" xfId="2458"/>
    <cellStyle name="Normal 2 2 2 2 2 23 2 2 3 3 4" xfId="2459"/>
    <cellStyle name="Normal 2 2 2 2 2 23 2 2 3 3 5" xfId="2460"/>
    <cellStyle name="Normal 2 2 2 2 2 23 2 2 3 3 6" xfId="2461"/>
    <cellStyle name="Normal 2 2 2 2 2 23 2 2 3 3 7" xfId="2462"/>
    <cellStyle name="Normal 2 2 2 2 2 23 2 2 3 3 8" xfId="2463"/>
    <cellStyle name="Normal 2 2 2 2 2 23 2 2 3 3 9" xfId="2464"/>
    <cellStyle name="Normal 2 2 2 2 2 23 2 2 3 4" xfId="2465"/>
    <cellStyle name="Normal 2 2 2 2 2 23 2 2 3 4 2" xfId="2466"/>
    <cellStyle name="Normal 2 2 2 2 2 23 2 2 3 5" xfId="2467"/>
    <cellStyle name="Normal 2 2 2 2 2 23 2 2 3 6" xfId="2468"/>
    <cellStyle name="Normal 2 2 2 2 2 23 2 2 3 7" xfId="2469"/>
    <cellStyle name="Normal 2 2 2 2 2 23 2 2 3 8" xfId="2470"/>
    <cellStyle name="Normal 2 2 2 2 2 23 2 2 3 9" xfId="2471"/>
    <cellStyle name="Normal 2 2 2 2 2 23 2 2 4" xfId="2472"/>
    <cellStyle name="Normal 2 2 2 2 2 23 2 2 4 10" xfId="2473"/>
    <cellStyle name="Normal 2 2 2 2 2 23 2 2 4 11" xfId="2474"/>
    <cellStyle name="Normal 2 2 2 2 2 23 2 2 4 2" xfId="2475"/>
    <cellStyle name="Normal 2 2 2 2 2 23 2 2 4 2 10" xfId="2476"/>
    <cellStyle name="Normal 2 2 2 2 2 23 2 2 4 2 11" xfId="2477"/>
    <cellStyle name="Normal 2 2 2 2 2 23 2 2 4 2 2" xfId="2478"/>
    <cellStyle name="Normal 2 2 2 2 2 23 2 2 4 2 2 2" xfId="2479"/>
    <cellStyle name="Normal 2 2 2 2 2 23 2 2 4 2 3" xfId="2480"/>
    <cellStyle name="Normal 2 2 2 2 2 23 2 2 4 2 4" xfId="2481"/>
    <cellStyle name="Normal 2 2 2 2 2 23 2 2 4 2 5" xfId="2482"/>
    <cellStyle name="Normal 2 2 2 2 2 23 2 2 4 2 6" xfId="2483"/>
    <cellStyle name="Normal 2 2 2 2 2 23 2 2 4 2 7" xfId="2484"/>
    <cellStyle name="Normal 2 2 2 2 2 23 2 2 4 2 8" xfId="2485"/>
    <cellStyle name="Normal 2 2 2 2 2 23 2 2 4 2 9" xfId="2486"/>
    <cellStyle name="Normal 2 2 2 2 2 23 2 2 4 3" xfId="2487"/>
    <cellStyle name="Normal 2 2 2 2 2 23 2 2 4 3 2" xfId="2488"/>
    <cellStyle name="Normal 2 2 2 2 2 23 2 2 4 4" xfId="2489"/>
    <cellStyle name="Normal 2 2 2 2 2 23 2 2 4 5" xfId="2490"/>
    <cellStyle name="Normal 2 2 2 2 2 23 2 2 4 6" xfId="2491"/>
    <cellStyle name="Normal 2 2 2 2 2 23 2 2 4 7" xfId="2492"/>
    <cellStyle name="Normal 2 2 2 2 2 23 2 2 4 8" xfId="2493"/>
    <cellStyle name="Normal 2 2 2 2 2 23 2 2 4 9" xfId="2494"/>
    <cellStyle name="Normal 2 2 2 2 2 23 2 2 5" xfId="2495"/>
    <cellStyle name="Normal 2 2 2 2 2 23 2 2 5 2" xfId="2496"/>
    <cellStyle name="Normal 2 2 2 2 2 23 2 2 6" xfId="2497"/>
    <cellStyle name="Normal 2 2 2 2 2 23 2 2 7" xfId="2498"/>
    <cellStyle name="Normal 2 2 2 2 2 23 2 2 8" xfId="2499"/>
    <cellStyle name="Normal 2 2 2 2 2 23 2 2 9" xfId="2500"/>
    <cellStyle name="Normal 2 2 2 2 2 23 2 3" xfId="2501"/>
    <cellStyle name="Normal 2 2 2 2 2 23 2 3 10" xfId="2502"/>
    <cellStyle name="Normal 2 2 2 2 2 23 2 3 11" xfId="2503"/>
    <cellStyle name="Normal 2 2 2 2 2 23 2 3 12" xfId="2504"/>
    <cellStyle name="Normal 2 2 2 2 2 23 2 3 13" xfId="2505"/>
    <cellStyle name="Normal 2 2 2 2 2 23 2 3 2" xfId="2506"/>
    <cellStyle name="Normal 2 2 2 2 2 23 2 3 2 10" xfId="2507"/>
    <cellStyle name="Normal 2 2 2 2 2 23 2 3 2 11" xfId="2508"/>
    <cellStyle name="Normal 2 2 2 2 2 23 2 3 2 12" xfId="2509"/>
    <cellStyle name="Normal 2 2 2 2 2 23 2 3 2 2" xfId="2510"/>
    <cellStyle name="Normal 2 2 2 2 2 23 2 3 2 2 10" xfId="2511"/>
    <cellStyle name="Normal 2 2 2 2 2 23 2 3 2 2 11" xfId="2512"/>
    <cellStyle name="Normal 2 2 2 2 2 23 2 3 2 2 12" xfId="2513"/>
    <cellStyle name="Normal 2 2 2 2 2 23 2 3 2 2 2" xfId="2514"/>
    <cellStyle name="Normal 2 2 2 2 2 23 2 3 2 2 2 10" xfId="2515"/>
    <cellStyle name="Normal 2 2 2 2 2 23 2 3 2 2 2 11" xfId="2516"/>
    <cellStyle name="Normal 2 2 2 2 2 23 2 3 2 2 2 2" xfId="2517"/>
    <cellStyle name="Normal 2 2 2 2 2 23 2 3 2 2 2 2 10" xfId="2518"/>
    <cellStyle name="Normal 2 2 2 2 2 23 2 3 2 2 2 2 11" xfId="2519"/>
    <cellStyle name="Normal 2 2 2 2 2 23 2 3 2 2 2 2 2" xfId="2520"/>
    <cellStyle name="Normal 2 2 2 2 2 23 2 3 2 2 2 2 2 2" xfId="2521"/>
    <cellStyle name="Normal 2 2 2 2 2 23 2 3 2 2 2 2 3" xfId="2522"/>
    <cellStyle name="Normal 2 2 2 2 2 23 2 3 2 2 2 2 4" xfId="2523"/>
    <cellStyle name="Normal 2 2 2 2 2 23 2 3 2 2 2 2 5" xfId="2524"/>
    <cellStyle name="Normal 2 2 2 2 2 23 2 3 2 2 2 2 6" xfId="2525"/>
    <cellStyle name="Normal 2 2 2 2 2 23 2 3 2 2 2 2 7" xfId="2526"/>
    <cellStyle name="Normal 2 2 2 2 2 23 2 3 2 2 2 2 8" xfId="2527"/>
    <cellStyle name="Normal 2 2 2 2 2 23 2 3 2 2 2 2 9" xfId="2528"/>
    <cellStyle name="Normal 2 2 2 2 2 23 2 3 2 2 2 3" xfId="2529"/>
    <cellStyle name="Normal 2 2 2 2 2 23 2 3 2 2 2 3 2" xfId="2530"/>
    <cellStyle name="Normal 2 2 2 2 2 23 2 3 2 2 2 4" xfId="2531"/>
    <cellStyle name="Normal 2 2 2 2 2 23 2 3 2 2 2 5" xfId="2532"/>
    <cellStyle name="Normal 2 2 2 2 2 23 2 3 2 2 2 6" xfId="2533"/>
    <cellStyle name="Normal 2 2 2 2 2 23 2 3 2 2 2 7" xfId="2534"/>
    <cellStyle name="Normal 2 2 2 2 2 23 2 3 2 2 2 8" xfId="2535"/>
    <cellStyle name="Normal 2 2 2 2 2 23 2 3 2 2 2 9" xfId="2536"/>
    <cellStyle name="Normal 2 2 2 2 2 23 2 3 2 2 3" xfId="2537"/>
    <cellStyle name="Normal 2 2 2 2 2 23 2 3 2 2 3 2" xfId="2538"/>
    <cellStyle name="Normal 2 2 2 2 2 23 2 3 2 2 4" xfId="2539"/>
    <cellStyle name="Normal 2 2 2 2 2 23 2 3 2 2 5" xfId="2540"/>
    <cellStyle name="Normal 2 2 2 2 2 23 2 3 2 2 6" xfId="2541"/>
    <cellStyle name="Normal 2 2 2 2 2 23 2 3 2 2 7" xfId="2542"/>
    <cellStyle name="Normal 2 2 2 2 2 23 2 3 2 2 8" xfId="2543"/>
    <cellStyle name="Normal 2 2 2 2 2 23 2 3 2 2 9" xfId="2544"/>
    <cellStyle name="Normal 2 2 2 2 2 23 2 3 2 3" xfId="2545"/>
    <cellStyle name="Normal 2 2 2 2 2 23 2 3 2 3 10" xfId="2546"/>
    <cellStyle name="Normal 2 2 2 2 2 23 2 3 2 3 11" xfId="2547"/>
    <cellStyle name="Normal 2 2 2 2 2 23 2 3 2 3 2" xfId="2548"/>
    <cellStyle name="Normal 2 2 2 2 2 23 2 3 2 3 2 2" xfId="2549"/>
    <cellStyle name="Normal 2 2 2 2 2 23 2 3 2 3 3" xfId="2550"/>
    <cellStyle name="Normal 2 2 2 2 2 23 2 3 2 3 4" xfId="2551"/>
    <cellStyle name="Normal 2 2 2 2 2 23 2 3 2 3 5" xfId="2552"/>
    <cellStyle name="Normal 2 2 2 2 2 23 2 3 2 3 6" xfId="2553"/>
    <cellStyle name="Normal 2 2 2 2 2 23 2 3 2 3 7" xfId="2554"/>
    <cellStyle name="Normal 2 2 2 2 2 23 2 3 2 3 8" xfId="2555"/>
    <cellStyle name="Normal 2 2 2 2 2 23 2 3 2 3 9" xfId="2556"/>
    <cellStyle name="Normal 2 2 2 2 2 23 2 3 2 4" xfId="2557"/>
    <cellStyle name="Normal 2 2 2 2 2 23 2 3 2 4 2" xfId="2558"/>
    <cellStyle name="Normal 2 2 2 2 2 23 2 3 2 5" xfId="2559"/>
    <cellStyle name="Normal 2 2 2 2 2 23 2 3 2 6" xfId="2560"/>
    <cellStyle name="Normal 2 2 2 2 2 23 2 3 2 7" xfId="2561"/>
    <cellStyle name="Normal 2 2 2 2 2 23 2 3 2 8" xfId="2562"/>
    <cellStyle name="Normal 2 2 2 2 2 23 2 3 2 9" xfId="2563"/>
    <cellStyle name="Normal 2 2 2 2 2 23 2 3 3" xfId="2564"/>
    <cellStyle name="Normal 2 2 2 2 2 23 2 3 3 10" xfId="2565"/>
    <cellStyle name="Normal 2 2 2 2 2 23 2 3 3 11" xfId="2566"/>
    <cellStyle name="Normal 2 2 2 2 2 23 2 3 3 2" xfId="2567"/>
    <cellStyle name="Normal 2 2 2 2 2 23 2 3 3 2 10" xfId="2568"/>
    <cellStyle name="Normal 2 2 2 2 2 23 2 3 3 2 11" xfId="2569"/>
    <cellStyle name="Normal 2 2 2 2 2 23 2 3 3 2 2" xfId="2570"/>
    <cellStyle name="Normal 2 2 2 2 2 23 2 3 3 2 2 2" xfId="2571"/>
    <cellStyle name="Normal 2 2 2 2 2 23 2 3 3 2 3" xfId="2572"/>
    <cellStyle name="Normal 2 2 2 2 2 23 2 3 3 2 4" xfId="2573"/>
    <cellStyle name="Normal 2 2 2 2 2 23 2 3 3 2 5" xfId="2574"/>
    <cellStyle name="Normal 2 2 2 2 2 23 2 3 3 2 6" xfId="2575"/>
    <cellStyle name="Normal 2 2 2 2 2 23 2 3 3 2 7" xfId="2576"/>
    <cellStyle name="Normal 2 2 2 2 2 23 2 3 3 2 8" xfId="2577"/>
    <cellStyle name="Normal 2 2 2 2 2 23 2 3 3 2 9" xfId="2578"/>
    <cellStyle name="Normal 2 2 2 2 2 23 2 3 3 3" xfId="2579"/>
    <cellStyle name="Normal 2 2 2 2 2 23 2 3 3 3 2" xfId="2580"/>
    <cellStyle name="Normal 2 2 2 2 2 23 2 3 3 4" xfId="2581"/>
    <cellStyle name="Normal 2 2 2 2 2 23 2 3 3 5" xfId="2582"/>
    <cellStyle name="Normal 2 2 2 2 2 23 2 3 3 6" xfId="2583"/>
    <cellStyle name="Normal 2 2 2 2 2 23 2 3 3 7" xfId="2584"/>
    <cellStyle name="Normal 2 2 2 2 2 23 2 3 3 8" xfId="2585"/>
    <cellStyle name="Normal 2 2 2 2 2 23 2 3 3 9" xfId="2586"/>
    <cellStyle name="Normal 2 2 2 2 2 23 2 3 4" xfId="2587"/>
    <cellStyle name="Normal 2 2 2 2 2 23 2 3 4 2" xfId="2588"/>
    <cellStyle name="Normal 2 2 2 2 2 23 2 3 5" xfId="2589"/>
    <cellStyle name="Normal 2 2 2 2 2 23 2 3 6" xfId="2590"/>
    <cellStyle name="Normal 2 2 2 2 2 23 2 3 7" xfId="2591"/>
    <cellStyle name="Normal 2 2 2 2 2 23 2 3 8" xfId="2592"/>
    <cellStyle name="Normal 2 2 2 2 2 23 2 3 9" xfId="2593"/>
    <cellStyle name="Normal 2 2 2 2 2 23 2 4" xfId="2594"/>
    <cellStyle name="Normal 2 2 2 2 2 23 2 4 10" xfId="2595"/>
    <cellStyle name="Normal 2 2 2 2 2 23 2 4 11" xfId="2596"/>
    <cellStyle name="Normal 2 2 2 2 2 23 2 4 12" xfId="2597"/>
    <cellStyle name="Normal 2 2 2 2 2 23 2 4 2" xfId="2598"/>
    <cellStyle name="Normal 2 2 2 2 2 23 2 4 2 10" xfId="2599"/>
    <cellStyle name="Normal 2 2 2 2 2 23 2 4 2 11" xfId="2600"/>
    <cellStyle name="Normal 2 2 2 2 2 23 2 4 2 2" xfId="2601"/>
    <cellStyle name="Normal 2 2 2 2 2 23 2 4 2 2 10" xfId="2602"/>
    <cellStyle name="Normal 2 2 2 2 2 23 2 4 2 2 11" xfId="2603"/>
    <cellStyle name="Normal 2 2 2 2 2 23 2 4 2 2 2" xfId="2604"/>
    <cellStyle name="Normal 2 2 2 2 2 23 2 4 2 2 2 2" xfId="2605"/>
    <cellStyle name="Normal 2 2 2 2 2 23 2 4 2 2 3" xfId="2606"/>
    <cellStyle name="Normal 2 2 2 2 2 23 2 4 2 2 4" xfId="2607"/>
    <cellStyle name="Normal 2 2 2 2 2 23 2 4 2 2 5" xfId="2608"/>
    <cellStyle name="Normal 2 2 2 2 2 23 2 4 2 2 6" xfId="2609"/>
    <cellStyle name="Normal 2 2 2 2 2 23 2 4 2 2 7" xfId="2610"/>
    <cellStyle name="Normal 2 2 2 2 2 23 2 4 2 2 8" xfId="2611"/>
    <cellStyle name="Normal 2 2 2 2 2 23 2 4 2 2 9" xfId="2612"/>
    <cellStyle name="Normal 2 2 2 2 2 23 2 4 2 3" xfId="2613"/>
    <cellStyle name="Normal 2 2 2 2 2 23 2 4 2 3 2" xfId="2614"/>
    <cellStyle name="Normal 2 2 2 2 2 23 2 4 2 4" xfId="2615"/>
    <cellStyle name="Normal 2 2 2 2 2 23 2 4 2 5" xfId="2616"/>
    <cellStyle name="Normal 2 2 2 2 2 23 2 4 2 6" xfId="2617"/>
    <cellStyle name="Normal 2 2 2 2 2 23 2 4 2 7" xfId="2618"/>
    <cellStyle name="Normal 2 2 2 2 2 23 2 4 2 8" xfId="2619"/>
    <cellStyle name="Normal 2 2 2 2 2 23 2 4 2 9" xfId="2620"/>
    <cellStyle name="Normal 2 2 2 2 2 23 2 4 3" xfId="2621"/>
    <cellStyle name="Normal 2 2 2 2 2 23 2 4 3 2" xfId="2622"/>
    <cellStyle name="Normal 2 2 2 2 2 23 2 4 4" xfId="2623"/>
    <cellStyle name="Normal 2 2 2 2 2 23 2 4 5" xfId="2624"/>
    <cellStyle name="Normal 2 2 2 2 2 23 2 4 6" xfId="2625"/>
    <cellStyle name="Normal 2 2 2 2 2 23 2 4 7" xfId="2626"/>
    <cellStyle name="Normal 2 2 2 2 2 23 2 4 8" xfId="2627"/>
    <cellStyle name="Normal 2 2 2 2 2 23 2 4 9" xfId="2628"/>
    <cellStyle name="Normal 2 2 2 2 2 23 2 5" xfId="2629"/>
    <cellStyle name="Normal 2 2 2 2 2 23 2 5 10" xfId="2630"/>
    <cellStyle name="Normal 2 2 2 2 2 23 2 5 11" xfId="2631"/>
    <cellStyle name="Normal 2 2 2 2 2 23 2 5 2" xfId="2632"/>
    <cellStyle name="Normal 2 2 2 2 2 23 2 5 2 2" xfId="2633"/>
    <cellStyle name="Normal 2 2 2 2 2 23 2 5 3" xfId="2634"/>
    <cellStyle name="Normal 2 2 2 2 2 23 2 5 4" xfId="2635"/>
    <cellStyle name="Normal 2 2 2 2 2 23 2 5 5" xfId="2636"/>
    <cellStyle name="Normal 2 2 2 2 2 23 2 5 6" xfId="2637"/>
    <cellStyle name="Normal 2 2 2 2 2 23 2 5 7" xfId="2638"/>
    <cellStyle name="Normal 2 2 2 2 2 23 2 5 8" xfId="2639"/>
    <cellStyle name="Normal 2 2 2 2 2 23 2 5 9" xfId="2640"/>
    <cellStyle name="Normal 2 2 2 2 2 23 2 6" xfId="2641"/>
    <cellStyle name="Normal 2 2 2 2 2 23 2 6 2" xfId="2642"/>
    <cellStyle name="Normal 2 2 2 2 2 23 2 7" xfId="2643"/>
    <cellStyle name="Normal 2 2 2 2 2 23 2 8" xfId="2644"/>
    <cellStyle name="Normal 2 2 2 2 2 23 2 9" xfId="2645"/>
    <cellStyle name="Normal 2 2 2 2 2 23 3" xfId="2646"/>
    <cellStyle name="Normal 2 2 2 2 2 23 3 10" xfId="2647"/>
    <cellStyle name="Normal 2 2 2 2 2 23 3 11" xfId="2648"/>
    <cellStyle name="Normal 2 2 2 2 2 23 3 12" xfId="2649"/>
    <cellStyle name="Normal 2 2 2 2 2 23 3 13" xfId="2650"/>
    <cellStyle name="Normal 2 2 2 2 2 23 3 2" xfId="2651"/>
    <cellStyle name="Normal 2 2 2 2 2 23 3 2 10" xfId="2652"/>
    <cellStyle name="Normal 2 2 2 2 2 23 3 2 11" xfId="2653"/>
    <cellStyle name="Normal 2 2 2 2 2 23 3 2 12" xfId="2654"/>
    <cellStyle name="Normal 2 2 2 2 2 23 3 2 13" xfId="2655"/>
    <cellStyle name="Normal 2 2 2 2 2 23 3 2 2" xfId="2656"/>
    <cellStyle name="Normal 2 2 2 2 2 23 3 2 2 10" xfId="2657"/>
    <cellStyle name="Normal 2 2 2 2 2 23 3 2 2 11" xfId="2658"/>
    <cellStyle name="Normal 2 2 2 2 2 23 3 2 2 12" xfId="2659"/>
    <cellStyle name="Normal 2 2 2 2 2 23 3 2 2 2" xfId="2660"/>
    <cellStyle name="Normal 2 2 2 2 2 23 3 2 2 2 10" xfId="2661"/>
    <cellStyle name="Normal 2 2 2 2 2 23 3 2 2 2 11" xfId="2662"/>
    <cellStyle name="Normal 2 2 2 2 2 23 3 2 2 2 12" xfId="2663"/>
    <cellStyle name="Normal 2 2 2 2 2 23 3 2 2 2 2" xfId="2664"/>
    <cellStyle name="Normal 2 2 2 2 2 23 3 2 2 2 2 10" xfId="2665"/>
    <cellStyle name="Normal 2 2 2 2 2 23 3 2 2 2 2 11" xfId="2666"/>
    <cellStyle name="Normal 2 2 2 2 2 23 3 2 2 2 2 2" xfId="2667"/>
    <cellStyle name="Normal 2 2 2 2 2 23 3 2 2 2 2 2 10" xfId="2668"/>
    <cellStyle name="Normal 2 2 2 2 2 23 3 2 2 2 2 2 11" xfId="2669"/>
    <cellStyle name="Normal 2 2 2 2 2 23 3 2 2 2 2 2 2" xfId="2670"/>
    <cellStyle name="Normal 2 2 2 2 2 23 3 2 2 2 2 2 2 2" xfId="2671"/>
    <cellStyle name="Normal 2 2 2 2 2 23 3 2 2 2 2 2 3" xfId="2672"/>
    <cellStyle name="Normal 2 2 2 2 2 23 3 2 2 2 2 2 4" xfId="2673"/>
    <cellStyle name="Normal 2 2 2 2 2 23 3 2 2 2 2 2 5" xfId="2674"/>
    <cellStyle name="Normal 2 2 2 2 2 23 3 2 2 2 2 2 6" xfId="2675"/>
    <cellStyle name="Normal 2 2 2 2 2 23 3 2 2 2 2 2 7" xfId="2676"/>
    <cellStyle name="Normal 2 2 2 2 2 23 3 2 2 2 2 2 8" xfId="2677"/>
    <cellStyle name="Normal 2 2 2 2 2 23 3 2 2 2 2 2 9" xfId="2678"/>
    <cellStyle name="Normal 2 2 2 2 2 23 3 2 2 2 2 3" xfId="2679"/>
    <cellStyle name="Normal 2 2 2 2 2 23 3 2 2 2 2 3 2" xfId="2680"/>
    <cellStyle name="Normal 2 2 2 2 2 23 3 2 2 2 2 4" xfId="2681"/>
    <cellStyle name="Normal 2 2 2 2 2 23 3 2 2 2 2 5" xfId="2682"/>
    <cellStyle name="Normal 2 2 2 2 2 23 3 2 2 2 2 6" xfId="2683"/>
    <cellStyle name="Normal 2 2 2 2 2 23 3 2 2 2 2 7" xfId="2684"/>
    <cellStyle name="Normal 2 2 2 2 2 23 3 2 2 2 2 8" xfId="2685"/>
    <cellStyle name="Normal 2 2 2 2 2 23 3 2 2 2 2 9" xfId="2686"/>
    <cellStyle name="Normal 2 2 2 2 2 23 3 2 2 2 3" xfId="2687"/>
    <cellStyle name="Normal 2 2 2 2 2 23 3 2 2 2 3 2" xfId="2688"/>
    <cellStyle name="Normal 2 2 2 2 2 23 3 2 2 2 4" xfId="2689"/>
    <cellStyle name="Normal 2 2 2 2 2 23 3 2 2 2 5" xfId="2690"/>
    <cellStyle name="Normal 2 2 2 2 2 23 3 2 2 2 6" xfId="2691"/>
    <cellStyle name="Normal 2 2 2 2 2 23 3 2 2 2 7" xfId="2692"/>
    <cellStyle name="Normal 2 2 2 2 2 23 3 2 2 2 8" xfId="2693"/>
    <cellStyle name="Normal 2 2 2 2 2 23 3 2 2 2 9" xfId="2694"/>
    <cellStyle name="Normal 2 2 2 2 2 23 3 2 2 3" xfId="2695"/>
    <cellStyle name="Normal 2 2 2 2 2 23 3 2 2 3 10" xfId="2696"/>
    <cellStyle name="Normal 2 2 2 2 2 23 3 2 2 3 11" xfId="2697"/>
    <cellStyle name="Normal 2 2 2 2 2 23 3 2 2 3 2" xfId="2698"/>
    <cellStyle name="Normal 2 2 2 2 2 23 3 2 2 3 2 2" xfId="2699"/>
    <cellStyle name="Normal 2 2 2 2 2 23 3 2 2 3 3" xfId="2700"/>
    <cellStyle name="Normal 2 2 2 2 2 23 3 2 2 3 4" xfId="2701"/>
    <cellStyle name="Normal 2 2 2 2 2 23 3 2 2 3 5" xfId="2702"/>
    <cellStyle name="Normal 2 2 2 2 2 23 3 2 2 3 6" xfId="2703"/>
    <cellStyle name="Normal 2 2 2 2 2 23 3 2 2 3 7" xfId="2704"/>
    <cellStyle name="Normal 2 2 2 2 2 23 3 2 2 3 8" xfId="2705"/>
    <cellStyle name="Normal 2 2 2 2 2 23 3 2 2 3 9" xfId="2706"/>
    <cellStyle name="Normal 2 2 2 2 2 23 3 2 2 4" xfId="2707"/>
    <cellStyle name="Normal 2 2 2 2 2 23 3 2 2 4 2" xfId="2708"/>
    <cellStyle name="Normal 2 2 2 2 2 23 3 2 2 5" xfId="2709"/>
    <cellStyle name="Normal 2 2 2 2 2 23 3 2 2 6" xfId="2710"/>
    <cellStyle name="Normal 2 2 2 2 2 23 3 2 2 7" xfId="2711"/>
    <cellStyle name="Normal 2 2 2 2 2 23 3 2 2 8" xfId="2712"/>
    <cellStyle name="Normal 2 2 2 2 2 23 3 2 2 9" xfId="2713"/>
    <cellStyle name="Normal 2 2 2 2 2 23 3 2 3" xfId="2714"/>
    <cellStyle name="Normal 2 2 2 2 2 23 3 2 3 10" xfId="2715"/>
    <cellStyle name="Normal 2 2 2 2 2 23 3 2 3 11" xfId="2716"/>
    <cellStyle name="Normal 2 2 2 2 2 23 3 2 3 2" xfId="2717"/>
    <cellStyle name="Normal 2 2 2 2 2 23 3 2 3 2 10" xfId="2718"/>
    <cellStyle name="Normal 2 2 2 2 2 23 3 2 3 2 11" xfId="2719"/>
    <cellStyle name="Normal 2 2 2 2 2 23 3 2 3 2 2" xfId="2720"/>
    <cellStyle name="Normal 2 2 2 2 2 23 3 2 3 2 2 2" xfId="2721"/>
    <cellStyle name="Normal 2 2 2 2 2 23 3 2 3 2 3" xfId="2722"/>
    <cellStyle name="Normal 2 2 2 2 2 23 3 2 3 2 4" xfId="2723"/>
    <cellStyle name="Normal 2 2 2 2 2 23 3 2 3 2 5" xfId="2724"/>
    <cellStyle name="Normal 2 2 2 2 2 23 3 2 3 2 6" xfId="2725"/>
    <cellStyle name="Normal 2 2 2 2 2 23 3 2 3 2 7" xfId="2726"/>
    <cellStyle name="Normal 2 2 2 2 2 23 3 2 3 2 8" xfId="2727"/>
    <cellStyle name="Normal 2 2 2 2 2 23 3 2 3 2 9" xfId="2728"/>
    <cellStyle name="Normal 2 2 2 2 2 23 3 2 3 3" xfId="2729"/>
    <cellStyle name="Normal 2 2 2 2 2 23 3 2 3 3 2" xfId="2730"/>
    <cellStyle name="Normal 2 2 2 2 2 23 3 2 3 4" xfId="2731"/>
    <cellStyle name="Normal 2 2 2 2 2 23 3 2 3 5" xfId="2732"/>
    <cellStyle name="Normal 2 2 2 2 2 23 3 2 3 6" xfId="2733"/>
    <cellStyle name="Normal 2 2 2 2 2 23 3 2 3 7" xfId="2734"/>
    <cellStyle name="Normal 2 2 2 2 2 23 3 2 3 8" xfId="2735"/>
    <cellStyle name="Normal 2 2 2 2 2 23 3 2 3 9" xfId="2736"/>
    <cellStyle name="Normal 2 2 2 2 2 23 3 2 4" xfId="2737"/>
    <cellStyle name="Normal 2 2 2 2 2 23 3 2 4 2" xfId="2738"/>
    <cellStyle name="Normal 2 2 2 2 2 23 3 2 5" xfId="2739"/>
    <cellStyle name="Normal 2 2 2 2 2 23 3 2 6" xfId="2740"/>
    <cellStyle name="Normal 2 2 2 2 2 23 3 2 7" xfId="2741"/>
    <cellStyle name="Normal 2 2 2 2 2 23 3 2 8" xfId="2742"/>
    <cellStyle name="Normal 2 2 2 2 2 23 3 2 9" xfId="2743"/>
    <cellStyle name="Normal 2 2 2 2 2 23 3 3" xfId="2744"/>
    <cellStyle name="Normal 2 2 2 2 2 23 3 3 10" xfId="2745"/>
    <cellStyle name="Normal 2 2 2 2 2 23 3 3 11" xfId="2746"/>
    <cellStyle name="Normal 2 2 2 2 2 23 3 3 12" xfId="2747"/>
    <cellStyle name="Normal 2 2 2 2 2 23 3 3 2" xfId="2748"/>
    <cellStyle name="Normal 2 2 2 2 2 23 3 3 2 10" xfId="2749"/>
    <cellStyle name="Normal 2 2 2 2 2 23 3 3 2 11" xfId="2750"/>
    <cellStyle name="Normal 2 2 2 2 2 23 3 3 2 2" xfId="2751"/>
    <cellStyle name="Normal 2 2 2 2 2 23 3 3 2 2 10" xfId="2752"/>
    <cellStyle name="Normal 2 2 2 2 2 23 3 3 2 2 11" xfId="2753"/>
    <cellStyle name="Normal 2 2 2 2 2 23 3 3 2 2 2" xfId="2754"/>
    <cellStyle name="Normal 2 2 2 2 2 23 3 3 2 2 2 2" xfId="2755"/>
    <cellStyle name="Normal 2 2 2 2 2 23 3 3 2 2 3" xfId="2756"/>
    <cellStyle name="Normal 2 2 2 2 2 23 3 3 2 2 4" xfId="2757"/>
    <cellStyle name="Normal 2 2 2 2 2 23 3 3 2 2 5" xfId="2758"/>
    <cellStyle name="Normal 2 2 2 2 2 23 3 3 2 2 6" xfId="2759"/>
    <cellStyle name="Normal 2 2 2 2 2 23 3 3 2 2 7" xfId="2760"/>
    <cellStyle name="Normal 2 2 2 2 2 23 3 3 2 2 8" xfId="2761"/>
    <cellStyle name="Normal 2 2 2 2 2 23 3 3 2 2 9" xfId="2762"/>
    <cellStyle name="Normal 2 2 2 2 2 23 3 3 2 3" xfId="2763"/>
    <cellStyle name="Normal 2 2 2 2 2 23 3 3 2 3 2" xfId="2764"/>
    <cellStyle name="Normal 2 2 2 2 2 23 3 3 2 4" xfId="2765"/>
    <cellStyle name="Normal 2 2 2 2 2 23 3 3 2 5" xfId="2766"/>
    <cellStyle name="Normal 2 2 2 2 2 23 3 3 2 6" xfId="2767"/>
    <cellStyle name="Normal 2 2 2 2 2 23 3 3 2 7" xfId="2768"/>
    <cellStyle name="Normal 2 2 2 2 2 23 3 3 2 8" xfId="2769"/>
    <cellStyle name="Normal 2 2 2 2 2 23 3 3 2 9" xfId="2770"/>
    <cellStyle name="Normal 2 2 2 2 2 23 3 3 3" xfId="2771"/>
    <cellStyle name="Normal 2 2 2 2 2 23 3 3 3 2" xfId="2772"/>
    <cellStyle name="Normal 2 2 2 2 2 23 3 3 4" xfId="2773"/>
    <cellStyle name="Normal 2 2 2 2 2 23 3 3 5" xfId="2774"/>
    <cellStyle name="Normal 2 2 2 2 2 23 3 3 6" xfId="2775"/>
    <cellStyle name="Normal 2 2 2 2 2 23 3 3 7" xfId="2776"/>
    <cellStyle name="Normal 2 2 2 2 2 23 3 3 8" xfId="2777"/>
    <cellStyle name="Normal 2 2 2 2 2 23 3 3 9" xfId="2778"/>
    <cellStyle name="Normal 2 2 2 2 2 23 3 4" xfId="2779"/>
    <cellStyle name="Normal 2 2 2 2 2 23 3 4 10" xfId="2780"/>
    <cellStyle name="Normal 2 2 2 2 2 23 3 4 11" xfId="2781"/>
    <cellStyle name="Normal 2 2 2 2 2 23 3 4 2" xfId="2782"/>
    <cellStyle name="Normal 2 2 2 2 2 23 3 4 2 2" xfId="2783"/>
    <cellStyle name="Normal 2 2 2 2 2 23 3 4 3" xfId="2784"/>
    <cellStyle name="Normal 2 2 2 2 2 23 3 4 4" xfId="2785"/>
    <cellStyle name="Normal 2 2 2 2 2 23 3 4 5" xfId="2786"/>
    <cellStyle name="Normal 2 2 2 2 2 23 3 4 6" xfId="2787"/>
    <cellStyle name="Normal 2 2 2 2 2 23 3 4 7" xfId="2788"/>
    <cellStyle name="Normal 2 2 2 2 2 23 3 4 8" xfId="2789"/>
    <cellStyle name="Normal 2 2 2 2 2 23 3 4 9" xfId="2790"/>
    <cellStyle name="Normal 2 2 2 2 2 23 3 5" xfId="2791"/>
    <cellStyle name="Normal 2 2 2 2 2 23 3 5 2" xfId="2792"/>
    <cellStyle name="Normal 2 2 2 2 2 23 3 6" xfId="2793"/>
    <cellStyle name="Normal 2 2 2 2 2 23 3 7" xfId="2794"/>
    <cellStyle name="Normal 2 2 2 2 2 23 3 8" xfId="2795"/>
    <cellStyle name="Normal 2 2 2 2 2 23 3 9" xfId="2796"/>
    <cellStyle name="Normal 2 2 2 2 2 23 4" xfId="2797"/>
    <cellStyle name="Normal 2 2 2 2 2 23 4 10" xfId="2798"/>
    <cellStyle name="Normal 2 2 2 2 2 23 4 11" xfId="2799"/>
    <cellStyle name="Normal 2 2 2 2 2 23 4 12" xfId="2800"/>
    <cellStyle name="Normal 2 2 2 2 2 23 4 2" xfId="2801"/>
    <cellStyle name="Normal 2 2 2 2 2 23 4 2 10" xfId="2802"/>
    <cellStyle name="Normal 2 2 2 2 2 23 4 2 11" xfId="2803"/>
    <cellStyle name="Normal 2 2 2 2 2 23 4 2 12" xfId="2804"/>
    <cellStyle name="Normal 2 2 2 2 2 23 4 2 2" xfId="2805"/>
    <cellStyle name="Normal 2 2 2 2 2 23 4 2 2 10" xfId="2806"/>
    <cellStyle name="Normal 2 2 2 2 2 23 4 2 2 11" xfId="2807"/>
    <cellStyle name="Normal 2 2 2 2 2 23 4 2 2 2" xfId="2808"/>
    <cellStyle name="Normal 2 2 2 2 2 23 4 2 2 2 10" xfId="2809"/>
    <cellStyle name="Normal 2 2 2 2 2 23 4 2 2 2 11" xfId="2810"/>
    <cellStyle name="Normal 2 2 2 2 2 23 4 2 2 2 2" xfId="2811"/>
    <cellStyle name="Normal 2 2 2 2 2 23 4 2 2 2 2 2" xfId="2812"/>
    <cellStyle name="Normal 2 2 2 2 2 23 4 2 2 2 3" xfId="2813"/>
    <cellStyle name="Normal 2 2 2 2 2 23 4 2 2 2 4" xfId="2814"/>
    <cellStyle name="Normal 2 2 2 2 2 23 4 2 2 2 5" xfId="2815"/>
    <cellStyle name="Normal 2 2 2 2 2 23 4 2 2 2 6" xfId="2816"/>
    <cellStyle name="Normal 2 2 2 2 2 23 4 2 2 2 7" xfId="2817"/>
    <cellStyle name="Normal 2 2 2 2 2 23 4 2 2 2 8" xfId="2818"/>
    <cellStyle name="Normal 2 2 2 2 2 23 4 2 2 2 9" xfId="2819"/>
    <cellStyle name="Normal 2 2 2 2 2 23 4 2 2 3" xfId="2820"/>
    <cellStyle name="Normal 2 2 2 2 2 23 4 2 2 3 2" xfId="2821"/>
    <cellStyle name="Normal 2 2 2 2 2 23 4 2 2 4" xfId="2822"/>
    <cellStyle name="Normal 2 2 2 2 2 23 4 2 2 5" xfId="2823"/>
    <cellStyle name="Normal 2 2 2 2 2 23 4 2 2 6" xfId="2824"/>
    <cellStyle name="Normal 2 2 2 2 2 23 4 2 2 7" xfId="2825"/>
    <cellStyle name="Normal 2 2 2 2 2 23 4 2 2 8" xfId="2826"/>
    <cellStyle name="Normal 2 2 2 2 2 23 4 2 2 9" xfId="2827"/>
    <cellStyle name="Normal 2 2 2 2 2 23 4 2 3" xfId="2828"/>
    <cellStyle name="Normal 2 2 2 2 2 23 4 2 3 2" xfId="2829"/>
    <cellStyle name="Normal 2 2 2 2 2 23 4 2 4" xfId="2830"/>
    <cellStyle name="Normal 2 2 2 2 2 23 4 2 5" xfId="2831"/>
    <cellStyle name="Normal 2 2 2 2 2 23 4 2 6" xfId="2832"/>
    <cellStyle name="Normal 2 2 2 2 2 23 4 2 7" xfId="2833"/>
    <cellStyle name="Normal 2 2 2 2 2 23 4 2 8" xfId="2834"/>
    <cellStyle name="Normal 2 2 2 2 2 23 4 2 9" xfId="2835"/>
    <cellStyle name="Normal 2 2 2 2 2 23 4 3" xfId="2836"/>
    <cellStyle name="Normal 2 2 2 2 2 23 4 3 10" xfId="2837"/>
    <cellStyle name="Normal 2 2 2 2 2 23 4 3 11" xfId="2838"/>
    <cellStyle name="Normal 2 2 2 2 2 23 4 3 2" xfId="2839"/>
    <cellStyle name="Normal 2 2 2 2 2 23 4 3 2 2" xfId="2840"/>
    <cellStyle name="Normal 2 2 2 2 2 23 4 3 3" xfId="2841"/>
    <cellStyle name="Normal 2 2 2 2 2 23 4 3 4" xfId="2842"/>
    <cellStyle name="Normal 2 2 2 2 2 23 4 3 5" xfId="2843"/>
    <cellStyle name="Normal 2 2 2 2 2 23 4 3 6" xfId="2844"/>
    <cellStyle name="Normal 2 2 2 2 2 23 4 3 7" xfId="2845"/>
    <cellStyle name="Normal 2 2 2 2 2 23 4 3 8" xfId="2846"/>
    <cellStyle name="Normal 2 2 2 2 2 23 4 3 9" xfId="2847"/>
    <cellStyle name="Normal 2 2 2 2 2 23 4 4" xfId="2848"/>
    <cellStyle name="Normal 2 2 2 2 2 23 4 4 2" xfId="2849"/>
    <cellStyle name="Normal 2 2 2 2 2 23 4 5" xfId="2850"/>
    <cellStyle name="Normal 2 2 2 2 2 23 4 6" xfId="2851"/>
    <cellStyle name="Normal 2 2 2 2 2 23 4 7" xfId="2852"/>
    <cellStyle name="Normal 2 2 2 2 2 23 4 8" xfId="2853"/>
    <cellStyle name="Normal 2 2 2 2 2 23 4 9" xfId="2854"/>
    <cellStyle name="Normal 2 2 2 2 2 23 5" xfId="2855"/>
    <cellStyle name="Normal 2 2 2 2 2 23 5 10" xfId="2856"/>
    <cellStyle name="Normal 2 2 2 2 2 23 5 11" xfId="2857"/>
    <cellStyle name="Normal 2 2 2 2 2 23 5 2" xfId="2858"/>
    <cellStyle name="Normal 2 2 2 2 2 23 5 2 10" xfId="2859"/>
    <cellStyle name="Normal 2 2 2 2 2 23 5 2 11" xfId="2860"/>
    <cellStyle name="Normal 2 2 2 2 2 23 5 2 2" xfId="2861"/>
    <cellStyle name="Normal 2 2 2 2 2 23 5 2 2 2" xfId="2862"/>
    <cellStyle name="Normal 2 2 2 2 2 23 5 2 3" xfId="2863"/>
    <cellStyle name="Normal 2 2 2 2 2 23 5 2 4" xfId="2864"/>
    <cellStyle name="Normal 2 2 2 2 2 23 5 2 5" xfId="2865"/>
    <cellStyle name="Normal 2 2 2 2 2 23 5 2 6" xfId="2866"/>
    <cellStyle name="Normal 2 2 2 2 2 23 5 2 7" xfId="2867"/>
    <cellStyle name="Normal 2 2 2 2 2 23 5 2 8" xfId="2868"/>
    <cellStyle name="Normal 2 2 2 2 2 23 5 2 9" xfId="2869"/>
    <cellStyle name="Normal 2 2 2 2 2 23 5 3" xfId="2870"/>
    <cellStyle name="Normal 2 2 2 2 2 23 5 3 2" xfId="2871"/>
    <cellStyle name="Normal 2 2 2 2 2 23 5 4" xfId="2872"/>
    <cellStyle name="Normal 2 2 2 2 2 23 5 5" xfId="2873"/>
    <cellStyle name="Normal 2 2 2 2 2 23 5 6" xfId="2874"/>
    <cellStyle name="Normal 2 2 2 2 2 23 5 7" xfId="2875"/>
    <cellStyle name="Normal 2 2 2 2 2 23 5 8" xfId="2876"/>
    <cellStyle name="Normal 2 2 2 2 2 23 5 9" xfId="2877"/>
    <cellStyle name="Normal 2 2 2 2 2 23 6" xfId="2878"/>
    <cellStyle name="Normal 2 2 2 2 2 23 6 2" xfId="2879"/>
    <cellStyle name="Normal 2 2 2 2 2 23 7" xfId="2880"/>
    <cellStyle name="Normal 2 2 2 2 2 23 8" xfId="2881"/>
    <cellStyle name="Normal 2 2 2 2 2 23 9" xfId="2882"/>
    <cellStyle name="Normal 2 2 2 2 2 24" xfId="2883"/>
    <cellStyle name="Normal 2 2 2 2 2 24 10" xfId="2884"/>
    <cellStyle name="Normal 2 2 2 2 2 24 11" xfId="2885"/>
    <cellStyle name="Normal 2 2 2 2 2 24 12" xfId="2886"/>
    <cellStyle name="Normal 2 2 2 2 2 24 13" xfId="2887"/>
    <cellStyle name="Normal 2 2 2 2 2 24 14" xfId="2888"/>
    <cellStyle name="Normal 2 2 2 2 2 24 2" xfId="2889"/>
    <cellStyle name="Normal 2 2 2 2 2 24 2 10" xfId="2890"/>
    <cellStyle name="Normal 2 2 2 2 2 24 2 11" xfId="2891"/>
    <cellStyle name="Normal 2 2 2 2 2 24 2 12" xfId="2892"/>
    <cellStyle name="Normal 2 2 2 2 2 24 2 13" xfId="2893"/>
    <cellStyle name="Normal 2 2 2 2 2 24 2 2" xfId="2894"/>
    <cellStyle name="Normal 2 2 2 2 2 24 2 2 10" xfId="2895"/>
    <cellStyle name="Normal 2 2 2 2 2 24 2 2 11" xfId="2896"/>
    <cellStyle name="Normal 2 2 2 2 2 24 2 2 12" xfId="2897"/>
    <cellStyle name="Normal 2 2 2 2 2 24 2 2 13" xfId="2898"/>
    <cellStyle name="Normal 2 2 2 2 2 24 2 2 2" xfId="2899"/>
    <cellStyle name="Normal 2 2 2 2 2 24 2 2 2 10" xfId="2900"/>
    <cellStyle name="Normal 2 2 2 2 2 24 2 2 2 11" xfId="2901"/>
    <cellStyle name="Normal 2 2 2 2 2 24 2 2 2 12" xfId="2902"/>
    <cellStyle name="Normal 2 2 2 2 2 24 2 2 2 2" xfId="2903"/>
    <cellStyle name="Normal 2 2 2 2 2 24 2 2 2 2 10" xfId="2904"/>
    <cellStyle name="Normal 2 2 2 2 2 24 2 2 2 2 11" xfId="2905"/>
    <cellStyle name="Normal 2 2 2 2 2 24 2 2 2 2 12" xfId="2906"/>
    <cellStyle name="Normal 2 2 2 2 2 24 2 2 2 2 2" xfId="2907"/>
    <cellStyle name="Normal 2 2 2 2 2 24 2 2 2 2 2 10" xfId="2908"/>
    <cellStyle name="Normal 2 2 2 2 2 24 2 2 2 2 2 11" xfId="2909"/>
    <cellStyle name="Normal 2 2 2 2 2 24 2 2 2 2 2 2" xfId="2910"/>
    <cellStyle name="Normal 2 2 2 2 2 24 2 2 2 2 2 2 10" xfId="2911"/>
    <cellStyle name="Normal 2 2 2 2 2 24 2 2 2 2 2 2 11" xfId="2912"/>
    <cellStyle name="Normal 2 2 2 2 2 24 2 2 2 2 2 2 2" xfId="2913"/>
    <cellStyle name="Normal 2 2 2 2 2 24 2 2 2 2 2 2 2 2" xfId="2914"/>
    <cellStyle name="Normal 2 2 2 2 2 24 2 2 2 2 2 2 3" xfId="2915"/>
    <cellStyle name="Normal 2 2 2 2 2 24 2 2 2 2 2 2 4" xfId="2916"/>
    <cellStyle name="Normal 2 2 2 2 2 24 2 2 2 2 2 2 5" xfId="2917"/>
    <cellStyle name="Normal 2 2 2 2 2 24 2 2 2 2 2 2 6" xfId="2918"/>
    <cellStyle name="Normal 2 2 2 2 2 24 2 2 2 2 2 2 7" xfId="2919"/>
    <cellStyle name="Normal 2 2 2 2 2 24 2 2 2 2 2 2 8" xfId="2920"/>
    <cellStyle name="Normal 2 2 2 2 2 24 2 2 2 2 2 2 9" xfId="2921"/>
    <cellStyle name="Normal 2 2 2 2 2 24 2 2 2 2 2 3" xfId="2922"/>
    <cellStyle name="Normal 2 2 2 2 2 24 2 2 2 2 2 3 2" xfId="2923"/>
    <cellStyle name="Normal 2 2 2 2 2 24 2 2 2 2 2 4" xfId="2924"/>
    <cellStyle name="Normal 2 2 2 2 2 24 2 2 2 2 2 5" xfId="2925"/>
    <cellStyle name="Normal 2 2 2 2 2 24 2 2 2 2 2 6" xfId="2926"/>
    <cellStyle name="Normal 2 2 2 2 2 24 2 2 2 2 2 7" xfId="2927"/>
    <cellStyle name="Normal 2 2 2 2 2 24 2 2 2 2 2 8" xfId="2928"/>
    <cellStyle name="Normal 2 2 2 2 2 24 2 2 2 2 2 9" xfId="2929"/>
    <cellStyle name="Normal 2 2 2 2 2 24 2 2 2 2 3" xfId="2930"/>
    <cellStyle name="Normal 2 2 2 2 2 24 2 2 2 2 3 2" xfId="2931"/>
    <cellStyle name="Normal 2 2 2 2 2 24 2 2 2 2 4" xfId="2932"/>
    <cellStyle name="Normal 2 2 2 2 2 24 2 2 2 2 5" xfId="2933"/>
    <cellStyle name="Normal 2 2 2 2 2 24 2 2 2 2 6" xfId="2934"/>
    <cellStyle name="Normal 2 2 2 2 2 24 2 2 2 2 7" xfId="2935"/>
    <cellStyle name="Normal 2 2 2 2 2 24 2 2 2 2 8" xfId="2936"/>
    <cellStyle name="Normal 2 2 2 2 2 24 2 2 2 2 9" xfId="2937"/>
    <cellStyle name="Normal 2 2 2 2 2 24 2 2 2 3" xfId="2938"/>
    <cellStyle name="Normal 2 2 2 2 2 24 2 2 2 3 10" xfId="2939"/>
    <cellStyle name="Normal 2 2 2 2 2 24 2 2 2 3 11" xfId="2940"/>
    <cellStyle name="Normal 2 2 2 2 2 24 2 2 2 3 2" xfId="2941"/>
    <cellStyle name="Normal 2 2 2 2 2 24 2 2 2 3 2 2" xfId="2942"/>
    <cellStyle name="Normal 2 2 2 2 2 24 2 2 2 3 3" xfId="2943"/>
    <cellStyle name="Normal 2 2 2 2 2 24 2 2 2 3 4" xfId="2944"/>
    <cellStyle name="Normal 2 2 2 2 2 24 2 2 2 3 5" xfId="2945"/>
    <cellStyle name="Normal 2 2 2 2 2 24 2 2 2 3 6" xfId="2946"/>
    <cellStyle name="Normal 2 2 2 2 2 24 2 2 2 3 7" xfId="2947"/>
    <cellStyle name="Normal 2 2 2 2 2 24 2 2 2 3 8" xfId="2948"/>
    <cellStyle name="Normal 2 2 2 2 2 24 2 2 2 3 9" xfId="2949"/>
    <cellStyle name="Normal 2 2 2 2 2 24 2 2 2 4" xfId="2950"/>
    <cellStyle name="Normal 2 2 2 2 2 24 2 2 2 4 2" xfId="2951"/>
    <cellStyle name="Normal 2 2 2 2 2 24 2 2 2 5" xfId="2952"/>
    <cellStyle name="Normal 2 2 2 2 2 24 2 2 2 6" xfId="2953"/>
    <cellStyle name="Normal 2 2 2 2 2 24 2 2 2 7" xfId="2954"/>
    <cellStyle name="Normal 2 2 2 2 2 24 2 2 2 8" xfId="2955"/>
    <cellStyle name="Normal 2 2 2 2 2 24 2 2 2 9" xfId="2956"/>
    <cellStyle name="Normal 2 2 2 2 2 24 2 2 3" xfId="2957"/>
    <cellStyle name="Normal 2 2 2 2 2 24 2 2 3 10" xfId="2958"/>
    <cellStyle name="Normal 2 2 2 2 2 24 2 2 3 11" xfId="2959"/>
    <cellStyle name="Normal 2 2 2 2 2 24 2 2 3 2" xfId="2960"/>
    <cellStyle name="Normal 2 2 2 2 2 24 2 2 3 2 10" xfId="2961"/>
    <cellStyle name="Normal 2 2 2 2 2 24 2 2 3 2 11" xfId="2962"/>
    <cellStyle name="Normal 2 2 2 2 2 24 2 2 3 2 2" xfId="2963"/>
    <cellStyle name="Normal 2 2 2 2 2 24 2 2 3 2 2 2" xfId="2964"/>
    <cellStyle name="Normal 2 2 2 2 2 24 2 2 3 2 3" xfId="2965"/>
    <cellStyle name="Normal 2 2 2 2 2 24 2 2 3 2 4" xfId="2966"/>
    <cellStyle name="Normal 2 2 2 2 2 24 2 2 3 2 5" xfId="2967"/>
    <cellStyle name="Normal 2 2 2 2 2 24 2 2 3 2 6" xfId="2968"/>
    <cellStyle name="Normal 2 2 2 2 2 24 2 2 3 2 7" xfId="2969"/>
    <cellStyle name="Normal 2 2 2 2 2 24 2 2 3 2 8" xfId="2970"/>
    <cellStyle name="Normal 2 2 2 2 2 24 2 2 3 2 9" xfId="2971"/>
    <cellStyle name="Normal 2 2 2 2 2 24 2 2 3 3" xfId="2972"/>
    <cellStyle name="Normal 2 2 2 2 2 24 2 2 3 3 2" xfId="2973"/>
    <cellStyle name="Normal 2 2 2 2 2 24 2 2 3 4" xfId="2974"/>
    <cellStyle name="Normal 2 2 2 2 2 24 2 2 3 5" xfId="2975"/>
    <cellStyle name="Normal 2 2 2 2 2 24 2 2 3 6" xfId="2976"/>
    <cellStyle name="Normal 2 2 2 2 2 24 2 2 3 7" xfId="2977"/>
    <cellStyle name="Normal 2 2 2 2 2 24 2 2 3 8" xfId="2978"/>
    <cellStyle name="Normal 2 2 2 2 2 24 2 2 3 9" xfId="2979"/>
    <cellStyle name="Normal 2 2 2 2 2 24 2 2 4" xfId="2980"/>
    <cellStyle name="Normal 2 2 2 2 2 24 2 2 4 2" xfId="2981"/>
    <cellStyle name="Normal 2 2 2 2 2 24 2 2 5" xfId="2982"/>
    <cellStyle name="Normal 2 2 2 2 2 24 2 2 6" xfId="2983"/>
    <cellStyle name="Normal 2 2 2 2 2 24 2 2 7" xfId="2984"/>
    <cellStyle name="Normal 2 2 2 2 2 24 2 2 8" xfId="2985"/>
    <cellStyle name="Normal 2 2 2 2 2 24 2 2 9" xfId="2986"/>
    <cellStyle name="Normal 2 2 2 2 2 24 2 3" xfId="2987"/>
    <cellStyle name="Normal 2 2 2 2 2 24 2 3 10" xfId="2988"/>
    <cellStyle name="Normal 2 2 2 2 2 24 2 3 11" xfId="2989"/>
    <cellStyle name="Normal 2 2 2 2 2 24 2 3 12" xfId="2990"/>
    <cellStyle name="Normal 2 2 2 2 2 24 2 3 2" xfId="2991"/>
    <cellStyle name="Normal 2 2 2 2 2 24 2 3 2 10" xfId="2992"/>
    <cellStyle name="Normal 2 2 2 2 2 24 2 3 2 11" xfId="2993"/>
    <cellStyle name="Normal 2 2 2 2 2 24 2 3 2 2" xfId="2994"/>
    <cellStyle name="Normal 2 2 2 2 2 24 2 3 2 2 10" xfId="2995"/>
    <cellStyle name="Normal 2 2 2 2 2 24 2 3 2 2 11" xfId="2996"/>
    <cellStyle name="Normal 2 2 2 2 2 24 2 3 2 2 2" xfId="2997"/>
    <cellStyle name="Normal 2 2 2 2 2 24 2 3 2 2 2 2" xfId="2998"/>
    <cellStyle name="Normal 2 2 2 2 2 24 2 3 2 2 3" xfId="2999"/>
    <cellStyle name="Normal 2 2 2 2 2 24 2 3 2 2 4" xfId="3000"/>
    <cellStyle name="Normal 2 2 2 2 2 24 2 3 2 2 5" xfId="3001"/>
    <cellStyle name="Normal 2 2 2 2 2 24 2 3 2 2 6" xfId="3002"/>
    <cellStyle name="Normal 2 2 2 2 2 24 2 3 2 2 7" xfId="3003"/>
    <cellStyle name="Normal 2 2 2 2 2 24 2 3 2 2 8" xfId="3004"/>
    <cellStyle name="Normal 2 2 2 2 2 24 2 3 2 2 9" xfId="3005"/>
    <cellStyle name="Normal 2 2 2 2 2 24 2 3 2 3" xfId="3006"/>
    <cellStyle name="Normal 2 2 2 2 2 24 2 3 2 3 2" xfId="3007"/>
    <cellStyle name="Normal 2 2 2 2 2 24 2 3 2 4" xfId="3008"/>
    <cellStyle name="Normal 2 2 2 2 2 24 2 3 2 5" xfId="3009"/>
    <cellStyle name="Normal 2 2 2 2 2 24 2 3 2 6" xfId="3010"/>
    <cellStyle name="Normal 2 2 2 2 2 24 2 3 2 7" xfId="3011"/>
    <cellStyle name="Normal 2 2 2 2 2 24 2 3 2 8" xfId="3012"/>
    <cellStyle name="Normal 2 2 2 2 2 24 2 3 2 9" xfId="3013"/>
    <cellStyle name="Normal 2 2 2 2 2 24 2 3 3" xfId="3014"/>
    <cellStyle name="Normal 2 2 2 2 2 24 2 3 3 2" xfId="3015"/>
    <cellStyle name="Normal 2 2 2 2 2 24 2 3 4" xfId="3016"/>
    <cellStyle name="Normal 2 2 2 2 2 24 2 3 5" xfId="3017"/>
    <cellStyle name="Normal 2 2 2 2 2 24 2 3 6" xfId="3018"/>
    <cellStyle name="Normal 2 2 2 2 2 24 2 3 7" xfId="3019"/>
    <cellStyle name="Normal 2 2 2 2 2 24 2 3 8" xfId="3020"/>
    <cellStyle name="Normal 2 2 2 2 2 24 2 3 9" xfId="3021"/>
    <cellStyle name="Normal 2 2 2 2 2 24 2 4" xfId="3022"/>
    <cellStyle name="Normal 2 2 2 2 2 24 2 4 10" xfId="3023"/>
    <cellStyle name="Normal 2 2 2 2 2 24 2 4 11" xfId="3024"/>
    <cellStyle name="Normal 2 2 2 2 2 24 2 4 2" xfId="3025"/>
    <cellStyle name="Normal 2 2 2 2 2 24 2 4 2 2" xfId="3026"/>
    <cellStyle name="Normal 2 2 2 2 2 24 2 4 3" xfId="3027"/>
    <cellStyle name="Normal 2 2 2 2 2 24 2 4 4" xfId="3028"/>
    <cellStyle name="Normal 2 2 2 2 2 24 2 4 5" xfId="3029"/>
    <cellStyle name="Normal 2 2 2 2 2 24 2 4 6" xfId="3030"/>
    <cellStyle name="Normal 2 2 2 2 2 24 2 4 7" xfId="3031"/>
    <cellStyle name="Normal 2 2 2 2 2 24 2 4 8" xfId="3032"/>
    <cellStyle name="Normal 2 2 2 2 2 24 2 4 9" xfId="3033"/>
    <cellStyle name="Normal 2 2 2 2 2 24 2 5" xfId="3034"/>
    <cellStyle name="Normal 2 2 2 2 2 24 2 5 2" xfId="3035"/>
    <cellStyle name="Normal 2 2 2 2 2 24 2 6" xfId="3036"/>
    <cellStyle name="Normal 2 2 2 2 2 24 2 7" xfId="3037"/>
    <cellStyle name="Normal 2 2 2 2 2 24 2 8" xfId="3038"/>
    <cellStyle name="Normal 2 2 2 2 2 24 2 9" xfId="3039"/>
    <cellStyle name="Normal 2 2 2 2 2 24 3" xfId="3040"/>
    <cellStyle name="Normal 2 2 2 2 2 24 3 10" xfId="3041"/>
    <cellStyle name="Normal 2 2 2 2 2 24 3 11" xfId="3042"/>
    <cellStyle name="Normal 2 2 2 2 2 24 3 12" xfId="3043"/>
    <cellStyle name="Normal 2 2 2 2 2 24 3 2" xfId="3044"/>
    <cellStyle name="Normal 2 2 2 2 2 24 3 2 10" xfId="3045"/>
    <cellStyle name="Normal 2 2 2 2 2 24 3 2 11" xfId="3046"/>
    <cellStyle name="Normal 2 2 2 2 2 24 3 2 12" xfId="3047"/>
    <cellStyle name="Normal 2 2 2 2 2 24 3 2 2" xfId="3048"/>
    <cellStyle name="Normal 2 2 2 2 2 24 3 2 2 10" xfId="3049"/>
    <cellStyle name="Normal 2 2 2 2 2 24 3 2 2 11" xfId="3050"/>
    <cellStyle name="Normal 2 2 2 2 2 24 3 2 2 2" xfId="3051"/>
    <cellStyle name="Normal 2 2 2 2 2 24 3 2 2 2 10" xfId="3052"/>
    <cellStyle name="Normal 2 2 2 2 2 24 3 2 2 2 11" xfId="3053"/>
    <cellStyle name="Normal 2 2 2 2 2 24 3 2 2 2 2" xfId="3054"/>
    <cellStyle name="Normal 2 2 2 2 2 24 3 2 2 2 2 2" xfId="3055"/>
    <cellStyle name="Normal 2 2 2 2 2 24 3 2 2 2 3" xfId="3056"/>
    <cellStyle name="Normal 2 2 2 2 2 24 3 2 2 2 4" xfId="3057"/>
    <cellStyle name="Normal 2 2 2 2 2 24 3 2 2 2 5" xfId="3058"/>
    <cellStyle name="Normal 2 2 2 2 2 24 3 2 2 2 6" xfId="3059"/>
    <cellStyle name="Normal 2 2 2 2 2 24 3 2 2 2 7" xfId="3060"/>
    <cellStyle name="Normal 2 2 2 2 2 24 3 2 2 2 8" xfId="3061"/>
    <cellStyle name="Normal 2 2 2 2 2 24 3 2 2 2 9" xfId="3062"/>
    <cellStyle name="Normal 2 2 2 2 2 24 3 2 2 3" xfId="3063"/>
    <cellStyle name="Normal 2 2 2 2 2 24 3 2 2 3 2" xfId="3064"/>
    <cellStyle name="Normal 2 2 2 2 2 24 3 2 2 4" xfId="3065"/>
    <cellStyle name="Normal 2 2 2 2 2 24 3 2 2 5" xfId="3066"/>
    <cellStyle name="Normal 2 2 2 2 2 24 3 2 2 6" xfId="3067"/>
    <cellStyle name="Normal 2 2 2 2 2 24 3 2 2 7" xfId="3068"/>
    <cellStyle name="Normal 2 2 2 2 2 24 3 2 2 8" xfId="3069"/>
    <cellStyle name="Normal 2 2 2 2 2 24 3 2 2 9" xfId="3070"/>
    <cellStyle name="Normal 2 2 2 2 2 24 3 2 3" xfId="3071"/>
    <cellStyle name="Normal 2 2 2 2 2 24 3 2 3 2" xfId="3072"/>
    <cellStyle name="Normal 2 2 2 2 2 24 3 2 4" xfId="3073"/>
    <cellStyle name="Normal 2 2 2 2 2 24 3 2 5" xfId="3074"/>
    <cellStyle name="Normal 2 2 2 2 2 24 3 2 6" xfId="3075"/>
    <cellStyle name="Normal 2 2 2 2 2 24 3 2 7" xfId="3076"/>
    <cellStyle name="Normal 2 2 2 2 2 24 3 2 8" xfId="3077"/>
    <cellStyle name="Normal 2 2 2 2 2 24 3 2 9" xfId="3078"/>
    <cellStyle name="Normal 2 2 2 2 2 24 3 3" xfId="3079"/>
    <cellStyle name="Normal 2 2 2 2 2 24 3 3 10" xfId="3080"/>
    <cellStyle name="Normal 2 2 2 2 2 24 3 3 11" xfId="3081"/>
    <cellStyle name="Normal 2 2 2 2 2 24 3 3 2" xfId="3082"/>
    <cellStyle name="Normal 2 2 2 2 2 24 3 3 2 2" xfId="3083"/>
    <cellStyle name="Normal 2 2 2 2 2 24 3 3 3" xfId="3084"/>
    <cellStyle name="Normal 2 2 2 2 2 24 3 3 4" xfId="3085"/>
    <cellStyle name="Normal 2 2 2 2 2 24 3 3 5" xfId="3086"/>
    <cellStyle name="Normal 2 2 2 2 2 24 3 3 6" xfId="3087"/>
    <cellStyle name="Normal 2 2 2 2 2 24 3 3 7" xfId="3088"/>
    <cellStyle name="Normal 2 2 2 2 2 24 3 3 8" xfId="3089"/>
    <cellStyle name="Normal 2 2 2 2 2 24 3 3 9" xfId="3090"/>
    <cellStyle name="Normal 2 2 2 2 2 24 3 4" xfId="3091"/>
    <cellStyle name="Normal 2 2 2 2 2 24 3 4 2" xfId="3092"/>
    <cellStyle name="Normal 2 2 2 2 2 24 3 5" xfId="3093"/>
    <cellStyle name="Normal 2 2 2 2 2 24 3 6" xfId="3094"/>
    <cellStyle name="Normal 2 2 2 2 2 24 3 7" xfId="3095"/>
    <cellStyle name="Normal 2 2 2 2 2 24 3 8" xfId="3096"/>
    <cellStyle name="Normal 2 2 2 2 2 24 3 9" xfId="3097"/>
    <cellStyle name="Normal 2 2 2 2 2 24 4" xfId="3098"/>
    <cellStyle name="Normal 2 2 2 2 2 24 4 10" xfId="3099"/>
    <cellStyle name="Normal 2 2 2 2 2 24 4 11" xfId="3100"/>
    <cellStyle name="Normal 2 2 2 2 2 24 4 2" xfId="3101"/>
    <cellStyle name="Normal 2 2 2 2 2 24 4 2 10" xfId="3102"/>
    <cellStyle name="Normal 2 2 2 2 2 24 4 2 11" xfId="3103"/>
    <cellStyle name="Normal 2 2 2 2 2 24 4 2 2" xfId="3104"/>
    <cellStyle name="Normal 2 2 2 2 2 24 4 2 2 2" xfId="3105"/>
    <cellStyle name="Normal 2 2 2 2 2 24 4 2 3" xfId="3106"/>
    <cellStyle name="Normal 2 2 2 2 2 24 4 2 4" xfId="3107"/>
    <cellStyle name="Normal 2 2 2 2 2 24 4 2 5" xfId="3108"/>
    <cellStyle name="Normal 2 2 2 2 2 24 4 2 6" xfId="3109"/>
    <cellStyle name="Normal 2 2 2 2 2 24 4 2 7" xfId="3110"/>
    <cellStyle name="Normal 2 2 2 2 2 24 4 2 8" xfId="3111"/>
    <cellStyle name="Normal 2 2 2 2 2 24 4 2 9" xfId="3112"/>
    <cellStyle name="Normal 2 2 2 2 2 24 4 3" xfId="3113"/>
    <cellStyle name="Normal 2 2 2 2 2 24 4 3 2" xfId="3114"/>
    <cellStyle name="Normal 2 2 2 2 2 24 4 4" xfId="3115"/>
    <cellStyle name="Normal 2 2 2 2 2 24 4 5" xfId="3116"/>
    <cellStyle name="Normal 2 2 2 2 2 24 4 6" xfId="3117"/>
    <cellStyle name="Normal 2 2 2 2 2 24 4 7" xfId="3118"/>
    <cellStyle name="Normal 2 2 2 2 2 24 4 8" xfId="3119"/>
    <cellStyle name="Normal 2 2 2 2 2 24 4 9" xfId="3120"/>
    <cellStyle name="Normal 2 2 2 2 2 24 5" xfId="3121"/>
    <cellStyle name="Normal 2 2 2 2 2 24 5 2" xfId="3122"/>
    <cellStyle name="Normal 2 2 2 2 2 24 6" xfId="3123"/>
    <cellStyle name="Normal 2 2 2 2 2 24 7" xfId="3124"/>
    <cellStyle name="Normal 2 2 2 2 2 24 8" xfId="3125"/>
    <cellStyle name="Normal 2 2 2 2 2 24 9" xfId="3126"/>
    <cellStyle name="Normal 2 2 2 2 2 25" xfId="3127"/>
    <cellStyle name="Normal 2 2 2 2 2 25 10" xfId="3128"/>
    <cellStyle name="Normal 2 2 2 2 2 25 11" xfId="3129"/>
    <cellStyle name="Normal 2 2 2 2 2 25 12" xfId="3130"/>
    <cellStyle name="Normal 2 2 2 2 2 25 13" xfId="3131"/>
    <cellStyle name="Normal 2 2 2 2 2 25 2" xfId="3132"/>
    <cellStyle name="Normal 2 2 2 2 2 25 2 10" xfId="3133"/>
    <cellStyle name="Normal 2 2 2 2 2 25 2 11" xfId="3134"/>
    <cellStyle name="Normal 2 2 2 2 2 25 2 12" xfId="3135"/>
    <cellStyle name="Normal 2 2 2 2 2 25 2 2" xfId="3136"/>
    <cellStyle name="Normal 2 2 2 2 2 25 2 2 10" xfId="3137"/>
    <cellStyle name="Normal 2 2 2 2 2 25 2 2 11" xfId="3138"/>
    <cellStyle name="Normal 2 2 2 2 2 25 2 2 12" xfId="3139"/>
    <cellStyle name="Normal 2 2 2 2 2 25 2 2 2" xfId="3140"/>
    <cellStyle name="Normal 2 2 2 2 2 25 2 2 2 10" xfId="3141"/>
    <cellStyle name="Normal 2 2 2 2 2 25 2 2 2 11" xfId="3142"/>
    <cellStyle name="Normal 2 2 2 2 2 25 2 2 2 2" xfId="3143"/>
    <cellStyle name="Normal 2 2 2 2 2 25 2 2 2 2 10" xfId="3144"/>
    <cellStyle name="Normal 2 2 2 2 2 25 2 2 2 2 11" xfId="3145"/>
    <cellStyle name="Normal 2 2 2 2 2 25 2 2 2 2 2" xfId="3146"/>
    <cellStyle name="Normal 2 2 2 2 2 25 2 2 2 2 2 2" xfId="3147"/>
    <cellStyle name="Normal 2 2 2 2 2 25 2 2 2 2 3" xfId="3148"/>
    <cellStyle name="Normal 2 2 2 2 2 25 2 2 2 2 4" xfId="3149"/>
    <cellStyle name="Normal 2 2 2 2 2 25 2 2 2 2 5" xfId="3150"/>
    <cellStyle name="Normal 2 2 2 2 2 25 2 2 2 2 6" xfId="3151"/>
    <cellStyle name="Normal 2 2 2 2 2 25 2 2 2 2 7" xfId="3152"/>
    <cellStyle name="Normal 2 2 2 2 2 25 2 2 2 2 8" xfId="3153"/>
    <cellStyle name="Normal 2 2 2 2 2 25 2 2 2 2 9" xfId="3154"/>
    <cellStyle name="Normal 2 2 2 2 2 25 2 2 2 3" xfId="3155"/>
    <cellStyle name="Normal 2 2 2 2 2 25 2 2 2 3 2" xfId="3156"/>
    <cellStyle name="Normal 2 2 2 2 2 25 2 2 2 4" xfId="3157"/>
    <cellStyle name="Normal 2 2 2 2 2 25 2 2 2 5" xfId="3158"/>
    <cellStyle name="Normal 2 2 2 2 2 25 2 2 2 6" xfId="3159"/>
    <cellStyle name="Normal 2 2 2 2 2 25 2 2 2 7" xfId="3160"/>
    <cellStyle name="Normal 2 2 2 2 2 25 2 2 2 8" xfId="3161"/>
    <cellStyle name="Normal 2 2 2 2 2 25 2 2 2 9" xfId="3162"/>
    <cellStyle name="Normal 2 2 2 2 2 25 2 2 3" xfId="3163"/>
    <cellStyle name="Normal 2 2 2 2 2 25 2 2 3 2" xfId="3164"/>
    <cellStyle name="Normal 2 2 2 2 2 25 2 2 4" xfId="3165"/>
    <cellStyle name="Normal 2 2 2 2 2 25 2 2 5" xfId="3166"/>
    <cellStyle name="Normal 2 2 2 2 2 25 2 2 6" xfId="3167"/>
    <cellStyle name="Normal 2 2 2 2 2 25 2 2 7" xfId="3168"/>
    <cellStyle name="Normal 2 2 2 2 2 25 2 2 8" xfId="3169"/>
    <cellStyle name="Normal 2 2 2 2 2 25 2 2 9" xfId="3170"/>
    <cellStyle name="Normal 2 2 2 2 2 25 2 3" xfId="3171"/>
    <cellStyle name="Normal 2 2 2 2 2 25 2 3 10" xfId="3172"/>
    <cellStyle name="Normal 2 2 2 2 2 25 2 3 11" xfId="3173"/>
    <cellStyle name="Normal 2 2 2 2 2 25 2 3 2" xfId="3174"/>
    <cellStyle name="Normal 2 2 2 2 2 25 2 3 2 2" xfId="3175"/>
    <cellStyle name="Normal 2 2 2 2 2 25 2 3 3" xfId="3176"/>
    <cellStyle name="Normal 2 2 2 2 2 25 2 3 4" xfId="3177"/>
    <cellStyle name="Normal 2 2 2 2 2 25 2 3 5" xfId="3178"/>
    <cellStyle name="Normal 2 2 2 2 2 25 2 3 6" xfId="3179"/>
    <cellStyle name="Normal 2 2 2 2 2 25 2 3 7" xfId="3180"/>
    <cellStyle name="Normal 2 2 2 2 2 25 2 3 8" xfId="3181"/>
    <cellStyle name="Normal 2 2 2 2 2 25 2 3 9" xfId="3182"/>
    <cellStyle name="Normal 2 2 2 2 2 25 2 4" xfId="3183"/>
    <cellStyle name="Normal 2 2 2 2 2 25 2 4 2" xfId="3184"/>
    <cellStyle name="Normal 2 2 2 2 2 25 2 5" xfId="3185"/>
    <cellStyle name="Normal 2 2 2 2 2 25 2 6" xfId="3186"/>
    <cellStyle name="Normal 2 2 2 2 2 25 2 7" xfId="3187"/>
    <cellStyle name="Normal 2 2 2 2 2 25 2 8" xfId="3188"/>
    <cellStyle name="Normal 2 2 2 2 2 25 2 9" xfId="3189"/>
    <cellStyle name="Normal 2 2 2 2 2 25 3" xfId="3190"/>
    <cellStyle name="Normal 2 2 2 2 2 25 3 10" xfId="3191"/>
    <cellStyle name="Normal 2 2 2 2 2 25 3 11" xfId="3192"/>
    <cellStyle name="Normal 2 2 2 2 2 25 3 2" xfId="3193"/>
    <cellStyle name="Normal 2 2 2 2 2 25 3 2 10" xfId="3194"/>
    <cellStyle name="Normal 2 2 2 2 2 25 3 2 11" xfId="3195"/>
    <cellStyle name="Normal 2 2 2 2 2 25 3 2 2" xfId="3196"/>
    <cellStyle name="Normal 2 2 2 2 2 25 3 2 2 2" xfId="3197"/>
    <cellStyle name="Normal 2 2 2 2 2 25 3 2 3" xfId="3198"/>
    <cellStyle name="Normal 2 2 2 2 2 25 3 2 4" xfId="3199"/>
    <cellStyle name="Normal 2 2 2 2 2 25 3 2 5" xfId="3200"/>
    <cellStyle name="Normal 2 2 2 2 2 25 3 2 6" xfId="3201"/>
    <cellStyle name="Normal 2 2 2 2 2 25 3 2 7" xfId="3202"/>
    <cellStyle name="Normal 2 2 2 2 2 25 3 2 8" xfId="3203"/>
    <cellStyle name="Normal 2 2 2 2 2 25 3 2 9" xfId="3204"/>
    <cellStyle name="Normal 2 2 2 2 2 25 3 3" xfId="3205"/>
    <cellStyle name="Normal 2 2 2 2 2 25 3 3 2" xfId="3206"/>
    <cellStyle name="Normal 2 2 2 2 2 25 3 4" xfId="3207"/>
    <cellStyle name="Normal 2 2 2 2 2 25 3 5" xfId="3208"/>
    <cellStyle name="Normal 2 2 2 2 2 25 3 6" xfId="3209"/>
    <cellStyle name="Normal 2 2 2 2 2 25 3 7" xfId="3210"/>
    <cellStyle name="Normal 2 2 2 2 2 25 3 8" xfId="3211"/>
    <cellStyle name="Normal 2 2 2 2 2 25 3 9" xfId="3212"/>
    <cellStyle name="Normal 2 2 2 2 2 25 4" xfId="3213"/>
    <cellStyle name="Normal 2 2 2 2 2 25 4 2" xfId="3214"/>
    <cellStyle name="Normal 2 2 2 2 2 25 5" xfId="3215"/>
    <cellStyle name="Normal 2 2 2 2 2 25 6" xfId="3216"/>
    <cellStyle name="Normal 2 2 2 2 2 25 7" xfId="3217"/>
    <cellStyle name="Normal 2 2 2 2 2 25 8" xfId="3218"/>
    <cellStyle name="Normal 2 2 2 2 2 25 9" xfId="3219"/>
    <cellStyle name="Normal 2 2 2 2 2 26" xfId="3220"/>
    <cellStyle name="Normal 2 2 2 2 2 26 10" xfId="3221"/>
    <cellStyle name="Normal 2 2 2 2 2 26 11" xfId="3222"/>
    <cellStyle name="Normal 2 2 2 2 2 26 12" xfId="3223"/>
    <cellStyle name="Normal 2 2 2 2 2 26 2" xfId="3224"/>
    <cellStyle name="Normal 2 2 2 2 2 26 2 10" xfId="3225"/>
    <cellStyle name="Normal 2 2 2 2 2 26 2 11" xfId="3226"/>
    <cellStyle name="Normal 2 2 2 2 2 26 2 2" xfId="3227"/>
    <cellStyle name="Normal 2 2 2 2 2 26 2 2 10" xfId="3228"/>
    <cellStyle name="Normal 2 2 2 2 2 26 2 2 11" xfId="3229"/>
    <cellStyle name="Normal 2 2 2 2 2 26 2 2 2" xfId="3230"/>
    <cellStyle name="Normal 2 2 2 2 2 26 2 2 2 2" xfId="3231"/>
    <cellStyle name="Normal 2 2 2 2 2 26 2 2 3" xfId="3232"/>
    <cellStyle name="Normal 2 2 2 2 2 26 2 2 4" xfId="3233"/>
    <cellStyle name="Normal 2 2 2 2 2 26 2 2 5" xfId="3234"/>
    <cellStyle name="Normal 2 2 2 2 2 26 2 2 6" xfId="3235"/>
    <cellStyle name="Normal 2 2 2 2 2 26 2 2 7" xfId="3236"/>
    <cellStyle name="Normal 2 2 2 2 2 26 2 2 8" xfId="3237"/>
    <cellStyle name="Normal 2 2 2 2 2 26 2 2 9" xfId="3238"/>
    <cellStyle name="Normal 2 2 2 2 2 26 2 3" xfId="3239"/>
    <cellStyle name="Normal 2 2 2 2 2 26 2 3 2" xfId="3240"/>
    <cellStyle name="Normal 2 2 2 2 2 26 2 4" xfId="3241"/>
    <cellStyle name="Normal 2 2 2 2 2 26 2 5" xfId="3242"/>
    <cellStyle name="Normal 2 2 2 2 2 26 2 6" xfId="3243"/>
    <cellStyle name="Normal 2 2 2 2 2 26 2 7" xfId="3244"/>
    <cellStyle name="Normal 2 2 2 2 2 26 2 8" xfId="3245"/>
    <cellStyle name="Normal 2 2 2 2 2 26 2 9" xfId="3246"/>
    <cellStyle name="Normal 2 2 2 2 2 26 3" xfId="3247"/>
    <cellStyle name="Normal 2 2 2 2 2 26 3 2" xfId="3248"/>
    <cellStyle name="Normal 2 2 2 2 2 26 4" xfId="3249"/>
    <cellStyle name="Normal 2 2 2 2 2 26 5" xfId="3250"/>
    <cellStyle name="Normal 2 2 2 2 2 26 6" xfId="3251"/>
    <cellStyle name="Normal 2 2 2 2 2 26 7" xfId="3252"/>
    <cellStyle name="Normal 2 2 2 2 2 26 8" xfId="3253"/>
    <cellStyle name="Normal 2 2 2 2 2 26 9" xfId="3254"/>
    <cellStyle name="Normal 2 2 2 2 2 27" xfId="3255"/>
    <cellStyle name="Normal 2 2 2 2 2 27 10" xfId="3256"/>
    <cellStyle name="Normal 2 2 2 2 2 27 11" xfId="3257"/>
    <cellStyle name="Normal 2 2 2 2 2 27 2" xfId="3258"/>
    <cellStyle name="Normal 2 2 2 2 2 27 2 2" xfId="3259"/>
    <cellStyle name="Normal 2 2 2 2 2 27 3" xfId="3260"/>
    <cellStyle name="Normal 2 2 2 2 2 27 4" xfId="3261"/>
    <cellStyle name="Normal 2 2 2 2 2 27 5" xfId="3262"/>
    <cellStyle name="Normal 2 2 2 2 2 27 6" xfId="3263"/>
    <cellStyle name="Normal 2 2 2 2 2 27 7" xfId="3264"/>
    <cellStyle name="Normal 2 2 2 2 2 27 8" xfId="3265"/>
    <cellStyle name="Normal 2 2 2 2 2 27 9" xfId="3266"/>
    <cellStyle name="Normal 2 2 2 2 2 28" xfId="3267"/>
    <cellStyle name="Normal 2 2 2 2 2 28 2" xfId="3268"/>
    <cellStyle name="Normal 2 2 2 2 2 29" xfId="3269"/>
    <cellStyle name="Normal 2 2 2 2 2 3" xfId="3270"/>
    <cellStyle name="Normal 2 2 2 2 2 30" xfId="3271"/>
    <cellStyle name="Normal 2 2 2 2 2 31" xfId="3272"/>
    <cellStyle name="Normal 2 2 2 2 2 32" xfId="3273"/>
    <cellStyle name="Normal 2 2 2 2 2 33" xfId="3274"/>
    <cellStyle name="Normal 2 2 2 2 2 34" xfId="3275"/>
    <cellStyle name="Normal 2 2 2 2 2 35" xfId="3276"/>
    <cellStyle name="Normal 2 2 2 2 2 36" xfId="3277"/>
    <cellStyle name="Normal 2 2 2 2 2 37" xfId="3278"/>
    <cellStyle name="Normal 2 2 2 2 2 37 2" xfId="3279"/>
    <cellStyle name="Normal 2 2 2 2 2 38" xfId="3280"/>
    <cellStyle name="Normal 2 2 2 2 2 39" xfId="3281"/>
    <cellStyle name="Normal 2 2 2 2 2 4" xfId="3282"/>
    <cellStyle name="Normal 2 2 2 2 2 4 2" xfId="3283"/>
    <cellStyle name="Normal 2 2 2 2 2 4 2 2" xfId="3284"/>
    <cellStyle name="Normal 2 2 2 2 2 40" xfId="3285"/>
    <cellStyle name="Normal 2 2 2 2 2 41" xfId="3286"/>
    <cellStyle name="Normal 2 2 2 2 2 41 2" xfId="3287"/>
    <cellStyle name="Normal 2 2 2 2 2 42" xfId="3288"/>
    <cellStyle name="Normal 2 2 2 2 2 43" xfId="3289"/>
    <cellStyle name="Normal 2 2 2 2 2 44" xfId="3290"/>
    <cellStyle name="Normal 2 2 2 2 2 5" xfId="3291"/>
    <cellStyle name="Normal 2 2 2 2 2 5 2" xfId="3292"/>
    <cellStyle name="Normal 2 2 2 2 2 6" xfId="3293"/>
    <cellStyle name="Normal 2 2 2 2 2 7" xfId="3294"/>
    <cellStyle name="Normal 2 2 2 2 2 8" xfId="3295"/>
    <cellStyle name="Normal 2 2 2 2 2 9" xfId="3296"/>
    <cellStyle name="Normal 2 2 2 2 20" xfId="3297"/>
    <cellStyle name="Normal 2 2 2 2 21" xfId="3298"/>
    <cellStyle name="Normal 2 2 2 2 22" xfId="3299"/>
    <cellStyle name="Normal 2 2 2 2 23" xfId="3300"/>
    <cellStyle name="Normal 2 2 2 2 24" xfId="3301"/>
    <cellStyle name="Normal 2 2 2 2 25" xfId="3302"/>
    <cellStyle name="Normal 2 2 2 2 25 10" xfId="3303"/>
    <cellStyle name="Normal 2 2 2 2 25 11" xfId="3304"/>
    <cellStyle name="Normal 2 2 2 2 25 12" xfId="3305"/>
    <cellStyle name="Normal 2 2 2 2 25 13" xfId="3306"/>
    <cellStyle name="Normal 2 2 2 2 25 14" xfId="3307"/>
    <cellStyle name="Normal 2 2 2 2 25 15" xfId="3308"/>
    <cellStyle name="Normal 2 2 2 2 25 2" xfId="3309"/>
    <cellStyle name="Normal 2 2 2 2 25 2 10" xfId="3310"/>
    <cellStyle name="Normal 2 2 2 2 25 2 11" xfId="3311"/>
    <cellStyle name="Normal 2 2 2 2 25 2 12" xfId="3312"/>
    <cellStyle name="Normal 2 2 2 2 25 2 13" xfId="3313"/>
    <cellStyle name="Normal 2 2 2 2 25 2 14" xfId="3314"/>
    <cellStyle name="Normal 2 2 2 2 25 2 2" xfId="3315"/>
    <cellStyle name="Normal 2 2 2 2 25 2 2 10" xfId="3316"/>
    <cellStyle name="Normal 2 2 2 2 25 2 2 11" xfId="3317"/>
    <cellStyle name="Normal 2 2 2 2 25 2 2 12" xfId="3318"/>
    <cellStyle name="Normal 2 2 2 2 25 2 2 13" xfId="3319"/>
    <cellStyle name="Normal 2 2 2 2 25 2 2 14" xfId="3320"/>
    <cellStyle name="Normal 2 2 2 2 25 2 2 2" xfId="3321"/>
    <cellStyle name="Normal 2 2 2 2 25 2 2 2 10" xfId="3322"/>
    <cellStyle name="Normal 2 2 2 2 25 2 2 2 11" xfId="3323"/>
    <cellStyle name="Normal 2 2 2 2 25 2 2 2 12" xfId="3324"/>
    <cellStyle name="Normal 2 2 2 2 25 2 2 2 13" xfId="3325"/>
    <cellStyle name="Normal 2 2 2 2 25 2 2 2 2" xfId="3326"/>
    <cellStyle name="Normal 2 2 2 2 25 2 2 2 2 10" xfId="3327"/>
    <cellStyle name="Normal 2 2 2 2 25 2 2 2 2 11" xfId="3328"/>
    <cellStyle name="Normal 2 2 2 2 25 2 2 2 2 12" xfId="3329"/>
    <cellStyle name="Normal 2 2 2 2 25 2 2 2 2 13" xfId="3330"/>
    <cellStyle name="Normal 2 2 2 2 25 2 2 2 2 2" xfId="3331"/>
    <cellStyle name="Normal 2 2 2 2 25 2 2 2 2 2 10" xfId="3332"/>
    <cellStyle name="Normal 2 2 2 2 25 2 2 2 2 2 11" xfId="3333"/>
    <cellStyle name="Normal 2 2 2 2 25 2 2 2 2 2 12" xfId="3334"/>
    <cellStyle name="Normal 2 2 2 2 25 2 2 2 2 2 2" xfId="3335"/>
    <cellStyle name="Normal 2 2 2 2 25 2 2 2 2 2 2 10" xfId="3336"/>
    <cellStyle name="Normal 2 2 2 2 25 2 2 2 2 2 2 11" xfId="3337"/>
    <cellStyle name="Normal 2 2 2 2 25 2 2 2 2 2 2 12" xfId="3338"/>
    <cellStyle name="Normal 2 2 2 2 25 2 2 2 2 2 2 2" xfId="3339"/>
    <cellStyle name="Normal 2 2 2 2 25 2 2 2 2 2 2 2 10" xfId="3340"/>
    <cellStyle name="Normal 2 2 2 2 25 2 2 2 2 2 2 2 11" xfId="3341"/>
    <cellStyle name="Normal 2 2 2 2 25 2 2 2 2 2 2 2 2" xfId="3342"/>
    <cellStyle name="Normal 2 2 2 2 25 2 2 2 2 2 2 2 2 10" xfId="3343"/>
    <cellStyle name="Normal 2 2 2 2 25 2 2 2 2 2 2 2 2 11" xfId="3344"/>
    <cellStyle name="Normal 2 2 2 2 25 2 2 2 2 2 2 2 2 2" xfId="3345"/>
    <cellStyle name="Normal 2 2 2 2 25 2 2 2 2 2 2 2 2 2 2" xfId="3346"/>
    <cellStyle name="Normal 2 2 2 2 25 2 2 2 2 2 2 2 2 3" xfId="3347"/>
    <cellStyle name="Normal 2 2 2 2 25 2 2 2 2 2 2 2 2 4" xfId="3348"/>
    <cellStyle name="Normal 2 2 2 2 25 2 2 2 2 2 2 2 2 5" xfId="3349"/>
    <cellStyle name="Normal 2 2 2 2 25 2 2 2 2 2 2 2 2 6" xfId="3350"/>
    <cellStyle name="Normal 2 2 2 2 25 2 2 2 2 2 2 2 2 7" xfId="3351"/>
    <cellStyle name="Normal 2 2 2 2 25 2 2 2 2 2 2 2 2 8" xfId="3352"/>
    <cellStyle name="Normal 2 2 2 2 25 2 2 2 2 2 2 2 2 9" xfId="3353"/>
    <cellStyle name="Normal 2 2 2 2 25 2 2 2 2 2 2 2 3" xfId="3354"/>
    <cellStyle name="Normal 2 2 2 2 25 2 2 2 2 2 2 2 3 2" xfId="3355"/>
    <cellStyle name="Normal 2 2 2 2 25 2 2 2 2 2 2 2 4" xfId="3356"/>
    <cellStyle name="Normal 2 2 2 2 25 2 2 2 2 2 2 2 5" xfId="3357"/>
    <cellStyle name="Normal 2 2 2 2 25 2 2 2 2 2 2 2 6" xfId="3358"/>
    <cellStyle name="Normal 2 2 2 2 25 2 2 2 2 2 2 2 7" xfId="3359"/>
    <cellStyle name="Normal 2 2 2 2 25 2 2 2 2 2 2 2 8" xfId="3360"/>
    <cellStyle name="Normal 2 2 2 2 25 2 2 2 2 2 2 2 9" xfId="3361"/>
    <cellStyle name="Normal 2 2 2 2 25 2 2 2 2 2 2 3" xfId="3362"/>
    <cellStyle name="Normal 2 2 2 2 25 2 2 2 2 2 2 3 2" xfId="3363"/>
    <cellStyle name="Normal 2 2 2 2 25 2 2 2 2 2 2 4" xfId="3364"/>
    <cellStyle name="Normal 2 2 2 2 25 2 2 2 2 2 2 5" xfId="3365"/>
    <cellStyle name="Normal 2 2 2 2 25 2 2 2 2 2 2 6" xfId="3366"/>
    <cellStyle name="Normal 2 2 2 2 25 2 2 2 2 2 2 7" xfId="3367"/>
    <cellStyle name="Normal 2 2 2 2 25 2 2 2 2 2 2 8" xfId="3368"/>
    <cellStyle name="Normal 2 2 2 2 25 2 2 2 2 2 2 9" xfId="3369"/>
    <cellStyle name="Normal 2 2 2 2 25 2 2 2 2 2 3" xfId="3370"/>
    <cellStyle name="Normal 2 2 2 2 25 2 2 2 2 2 3 10" xfId="3371"/>
    <cellStyle name="Normal 2 2 2 2 25 2 2 2 2 2 3 11" xfId="3372"/>
    <cellStyle name="Normal 2 2 2 2 25 2 2 2 2 2 3 2" xfId="3373"/>
    <cellStyle name="Normal 2 2 2 2 25 2 2 2 2 2 3 2 2" xfId="3374"/>
    <cellStyle name="Normal 2 2 2 2 25 2 2 2 2 2 3 3" xfId="3375"/>
    <cellStyle name="Normal 2 2 2 2 25 2 2 2 2 2 3 4" xfId="3376"/>
    <cellStyle name="Normal 2 2 2 2 25 2 2 2 2 2 3 5" xfId="3377"/>
    <cellStyle name="Normal 2 2 2 2 25 2 2 2 2 2 3 6" xfId="3378"/>
    <cellStyle name="Normal 2 2 2 2 25 2 2 2 2 2 3 7" xfId="3379"/>
    <cellStyle name="Normal 2 2 2 2 25 2 2 2 2 2 3 8" xfId="3380"/>
    <cellStyle name="Normal 2 2 2 2 25 2 2 2 2 2 3 9" xfId="3381"/>
    <cellStyle name="Normal 2 2 2 2 25 2 2 2 2 2 4" xfId="3382"/>
    <cellStyle name="Normal 2 2 2 2 25 2 2 2 2 2 4 2" xfId="3383"/>
    <cellStyle name="Normal 2 2 2 2 25 2 2 2 2 2 5" xfId="3384"/>
    <cellStyle name="Normal 2 2 2 2 25 2 2 2 2 2 6" xfId="3385"/>
    <cellStyle name="Normal 2 2 2 2 25 2 2 2 2 2 7" xfId="3386"/>
    <cellStyle name="Normal 2 2 2 2 25 2 2 2 2 2 8" xfId="3387"/>
    <cellStyle name="Normal 2 2 2 2 25 2 2 2 2 2 9" xfId="3388"/>
    <cellStyle name="Normal 2 2 2 2 25 2 2 2 2 3" xfId="3389"/>
    <cellStyle name="Normal 2 2 2 2 25 2 2 2 2 3 10" xfId="3390"/>
    <cellStyle name="Normal 2 2 2 2 25 2 2 2 2 3 11" xfId="3391"/>
    <cellStyle name="Normal 2 2 2 2 25 2 2 2 2 3 2" xfId="3392"/>
    <cellStyle name="Normal 2 2 2 2 25 2 2 2 2 3 2 10" xfId="3393"/>
    <cellStyle name="Normal 2 2 2 2 25 2 2 2 2 3 2 11" xfId="3394"/>
    <cellStyle name="Normal 2 2 2 2 25 2 2 2 2 3 2 2" xfId="3395"/>
    <cellStyle name="Normal 2 2 2 2 25 2 2 2 2 3 2 2 2" xfId="3396"/>
    <cellStyle name="Normal 2 2 2 2 25 2 2 2 2 3 2 3" xfId="3397"/>
    <cellStyle name="Normal 2 2 2 2 25 2 2 2 2 3 2 4" xfId="3398"/>
    <cellStyle name="Normal 2 2 2 2 25 2 2 2 2 3 2 5" xfId="3399"/>
    <cellStyle name="Normal 2 2 2 2 25 2 2 2 2 3 2 6" xfId="3400"/>
    <cellStyle name="Normal 2 2 2 2 25 2 2 2 2 3 2 7" xfId="3401"/>
    <cellStyle name="Normal 2 2 2 2 25 2 2 2 2 3 2 8" xfId="3402"/>
    <cellStyle name="Normal 2 2 2 2 25 2 2 2 2 3 2 9" xfId="3403"/>
    <cellStyle name="Normal 2 2 2 2 25 2 2 2 2 3 3" xfId="3404"/>
    <cellStyle name="Normal 2 2 2 2 25 2 2 2 2 3 3 2" xfId="3405"/>
    <cellStyle name="Normal 2 2 2 2 25 2 2 2 2 3 4" xfId="3406"/>
    <cellStyle name="Normal 2 2 2 2 25 2 2 2 2 3 5" xfId="3407"/>
    <cellStyle name="Normal 2 2 2 2 25 2 2 2 2 3 6" xfId="3408"/>
    <cellStyle name="Normal 2 2 2 2 25 2 2 2 2 3 7" xfId="3409"/>
    <cellStyle name="Normal 2 2 2 2 25 2 2 2 2 3 8" xfId="3410"/>
    <cellStyle name="Normal 2 2 2 2 25 2 2 2 2 3 9" xfId="3411"/>
    <cellStyle name="Normal 2 2 2 2 25 2 2 2 2 4" xfId="3412"/>
    <cellStyle name="Normal 2 2 2 2 25 2 2 2 2 4 2" xfId="3413"/>
    <cellStyle name="Normal 2 2 2 2 25 2 2 2 2 5" xfId="3414"/>
    <cellStyle name="Normal 2 2 2 2 25 2 2 2 2 6" xfId="3415"/>
    <cellStyle name="Normal 2 2 2 2 25 2 2 2 2 7" xfId="3416"/>
    <cellStyle name="Normal 2 2 2 2 25 2 2 2 2 8" xfId="3417"/>
    <cellStyle name="Normal 2 2 2 2 25 2 2 2 2 9" xfId="3418"/>
    <cellStyle name="Normal 2 2 2 2 25 2 2 2 3" xfId="3419"/>
    <cellStyle name="Normal 2 2 2 2 25 2 2 2 3 10" xfId="3420"/>
    <cellStyle name="Normal 2 2 2 2 25 2 2 2 3 11" xfId="3421"/>
    <cellStyle name="Normal 2 2 2 2 25 2 2 2 3 12" xfId="3422"/>
    <cellStyle name="Normal 2 2 2 2 25 2 2 2 3 2" xfId="3423"/>
    <cellStyle name="Normal 2 2 2 2 25 2 2 2 3 2 10" xfId="3424"/>
    <cellStyle name="Normal 2 2 2 2 25 2 2 2 3 2 11" xfId="3425"/>
    <cellStyle name="Normal 2 2 2 2 25 2 2 2 3 2 2" xfId="3426"/>
    <cellStyle name="Normal 2 2 2 2 25 2 2 2 3 2 2 10" xfId="3427"/>
    <cellStyle name="Normal 2 2 2 2 25 2 2 2 3 2 2 11" xfId="3428"/>
    <cellStyle name="Normal 2 2 2 2 25 2 2 2 3 2 2 2" xfId="3429"/>
    <cellStyle name="Normal 2 2 2 2 25 2 2 2 3 2 2 2 2" xfId="3430"/>
    <cellStyle name="Normal 2 2 2 2 25 2 2 2 3 2 2 3" xfId="3431"/>
    <cellStyle name="Normal 2 2 2 2 25 2 2 2 3 2 2 4" xfId="3432"/>
    <cellStyle name="Normal 2 2 2 2 25 2 2 2 3 2 2 5" xfId="3433"/>
    <cellStyle name="Normal 2 2 2 2 25 2 2 2 3 2 2 6" xfId="3434"/>
    <cellStyle name="Normal 2 2 2 2 25 2 2 2 3 2 2 7" xfId="3435"/>
    <cellStyle name="Normal 2 2 2 2 25 2 2 2 3 2 2 8" xfId="3436"/>
    <cellStyle name="Normal 2 2 2 2 25 2 2 2 3 2 2 9" xfId="3437"/>
    <cellStyle name="Normal 2 2 2 2 25 2 2 2 3 2 3" xfId="3438"/>
    <cellStyle name="Normal 2 2 2 2 25 2 2 2 3 2 3 2" xfId="3439"/>
    <cellStyle name="Normal 2 2 2 2 25 2 2 2 3 2 4" xfId="3440"/>
    <cellStyle name="Normal 2 2 2 2 25 2 2 2 3 2 5" xfId="3441"/>
    <cellStyle name="Normal 2 2 2 2 25 2 2 2 3 2 6" xfId="3442"/>
    <cellStyle name="Normal 2 2 2 2 25 2 2 2 3 2 7" xfId="3443"/>
    <cellStyle name="Normal 2 2 2 2 25 2 2 2 3 2 8" xfId="3444"/>
    <cellStyle name="Normal 2 2 2 2 25 2 2 2 3 2 9" xfId="3445"/>
    <cellStyle name="Normal 2 2 2 2 25 2 2 2 3 3" xfId="3446"/>
    <cellStyle name="Normal 2 2 2 2 25 2 2 2 3 3 2" xfId="3447"/>
    <cellStyle name="Normal 2 2 2 2 25 2 2 2 3 4" xfId="3448"/>
    <cellStyle name="Normal 2 2 2 2 25 2 2 2 3 5" xfId="3449"/>
    <cellStyle name="Normal 2 2 2 2 25 2 2 2 3 6" xfId="3450"/>
    <cellStyle name="Normal 2 2 2 2 25 2 2 2 3 7" xfId="3451"/>
    <cellStyle name="Normal 2 2 2 2 25 2 2 2 3 8" xfId="3452"/>
    <cellStyle name="Normal 2 2 2 2 25 2 2 2 3 9" xfId="3453"/>
    <cellStyle name="Normal 2 2 2 2 25 2 2 2 4" xfId="3454"/>
    <cellStyle name="Normal 2 2 2 2 25 2 2 2 4 10" xfId="3455"/>
    <cellStyle name="Normal 2 2 2 2 25 2 2 2 4 11" xfId="3456"/>
    <cellStyle name="Normal 2 2 2 2 25 2 2 2 4 2" xfId="3457"/>
    <cellStyle name="Normal 2 2 2 2 25 2 2 2 4 2 2" xfId="3458"/>
    <cellStyle name="Normal 2 2 2 2 25 2 2 2 4 3" xfId="3459"/>
    <cellStyle name="Normal 2 2 2 2 25 2 2 2 4 4" xfId="3460"/>
    <cellStyle name="Normal 2 2 2 2 25 2 2 2 4 5" xfId="3461"/>
    <cellStyle name="Normal 2 2 2 2 25 2 2 2 4 6" xfId="3462"/>
    <cellStyle name="Normal 2 2 2 2 25 2 2 2 4 7" xfId="3463"/>
    <cellStyle name="Normal 2 2 2 2 25 2 2 2 4 8" xfId="3464"/>
    <cellStyle name="Normal 2 2 2 2 25 2 2 2 4 9" xfId="3465"/>
    <cellStyle name="Normal 2 2 2 2 25 2 2 2 5" xfId="3466"/>
    <cellStyle name="Normal 2 2 2 2 25 2 2 2 5 2" xfId="3467"/>
    <cellStyle name="Normal 2 2 2 2 25 2 2 2 6" xfId="3468"/>
    <cellStyle name="Normal 2 2 2 2 25 2 2 2 7" xfId="3469"/>
    <cellStyle name="Normal 2 2 2 2 25 2 2 2 8" xfId="3470"/>
    <cellStyle name="Normal 2 2 2 2 25 2 2 2 9" xfId="3471"/>
    <cellStyle name="Normal 2 2 2 2 25 2 2 3" xfId="3472"/>
    <cellStyle name="Normal 2 2 2 2 25 2 2 3 10" xfId="3473"/>
    <cellStyle name="Normal 2 2 2 2 25 2 2 3 11" xfId="3474"/>
    <cellStyle name="Normal 2 2 2 2 25 2 2 3 12" xfId="3475"/>
    <cellStyle name="Normal 2 2 2 2 25 2 2 3 2" xfId="3476"/>
    <cellStyle name="Normal 2 2 2 2 25 2 2 3 2 10" xfId="3477"/>
    <cellStyle name="Normal 2 2 2 2 25 2 2 3 2 11" xfId="3478"/>
    <cellStyle name="Normal 2 2 2 2 25 2 2 3 2 12" xfId="3479"/>
    <cellStyle name="Normal 2 2 2 2 25 2 2 3 2 2" xfId="3480"/>
    <cellStyle name="Normal 2 2 2 2 25 2 2 3 2 2 10" xfId="3481"/>
    <cellStyle name="Normal 2 2 2 2 25 2 2 3 2 2 11" xfId="3482"/>
    <cellStyle name="Normal 2 2 2 2 25 2 2 3 2 2 2" xfId="3483"/>
    <cellStyle name="Normal 2 2 2 2 25 2 2 3 2 2 2 10" xfId="3484"/>
    <cellStyle name="Normal 2 2 2 2 25 2 2 3 2 2 2 11" xfId="3485"/>
    <cellStyle name="Normal 2 2 2 2 25 2 2 3 2 2 2 2" xfId="3486"/>
    <cellStyle name="Normal 2 2 2 2 25 2 2 3 2 2 2 2 2" xfId="3487"/>
    <cellStyle name="Normal 2 2 2 2 25 2 2 3 2 2 2 3" xfId="3488"/>
    <cellStyle name="Normal 2 2 2 2 25 2 2 3 2 2 2 4" xfId="3489"/>
    <cellStyle name="Normal 2 2 2 2 25 2 2 3 2 2 2 5" xfId="3490"/>
    <cellStyle name="Normal 2 2 2 2 25 2 2 3 2 2 2 6" xfId="3491"/>
    <cellStyle name="Normal 2 2 2 2 25 2 2 3 2 2 2 7" xfId="3492"/>
    <cellStyle name="Normal 2 2 2 2 25 2 2 3 2 2 2 8" xfId="3493"/>
    <cellStyle name="Normal 2 2 2 2 25 2 2 3 2 2 2 9" xfId="3494"/>
    <cellStyle name="Normal 2 2 2 2 25 2 2 3 2 2 3" xfId="3495"/>
    <cellStyle name="Normal 2 2 2 2 25 2 2 3 2 2 3 2" xfId="3496"/>
    <cellStyle name="Normal 2 2 2 2 25 2 2 3 2 2 4" xfId="3497"/>
    <cellStyle name="Normal 2 2 2 2 25 2 2 3 2 2 5" xfId="3498"/>
    <cellStyle name="Normal 2 2 2 2 25 2 2 3 2 2 6" xfId="3499"/>
    <cellStyle name="Normal 2 2 2 2 25 2 2 3 2 2 7" xfId="3500"/>
    <cellStyle name="Normal 2 2 2 2 25 2 2 3 2 2 8" xfId="3501"/>
    <cellStyle name="Normal 2 2 2 2 25 2 2 3 2 2 9" xfId="3502"/>
    <cellStyle name="Normal 2 2 2 2 25 2 2 3 2 3" xfId="3503"/>
    <cellStyle name="Normal 2 2 2 2 25 2 2 3 2 3 2" xfId="3504"/>
    <cellStyle name="Normal 2 2 2 2 25 2 2 3 2 4" xfId="3505"/>
    <cellStyle name="Normal 2 2 2 2 25 2 2 3 2 5" xfId="3506"/>
    <cellStyle name="Normal 2 2 2 2 25 2 2 3 2 6" xfId="3507"/>
    <cellStyle name="Normal 2 2 2 2 25 2 2 3 2 7" xfId="3508"/>
    <cellStyle name="Normal 2 2 2 2 25 2 2 3 2 8" xfId="3509"/>
    <cellStyle name="Normal 2 2 2 2 25 2 2 3 2 9" xfId="3510"/>
    <cellStyle name="Normal 2 2 2 2 25 2 2 3 3" xfId="3511"/>
    <cellStyle name="Normal 2 2 2 2 25 2 2 3 3 10" xfId="3512"/>
    <cellStyle name="Normal 2 2 2 2 25 2 2 3 3 11" xfId="3513"/>
    <cellStyle name="Normal 2 2 2 2 25 2 2 3 3 2" xfId="3514"/>
    <cellStyle name="Normal 2 2 2 2 25 2 2 3 3 2 2" xfId="3515"/>
    <cellStyle name="Normal 2 2 2 2 25 2 2 3 3 3" xfId="3516"/>
    <cellStyle name="Normal 2 2 2 2 25 2 2 3 3 4" xfId="3517"/>
    <cellStyle name="Normal 2 2 2 2 25 2 2 3 3 5" xfId="3518"/>
    <cellStyle name="Normal 2 2 2 2 25 2 2 3 3 6" xfId="3519"/>
    <cellStyle name="Normal 2 2 2 2 25 2 2 3 3 7" xfId="3520"/>
    <cellStyle name="Normal 2 2 2 2 25 2 2 3 3 8" xfId="3521"/>
    <cellStyle name="Normal 2 2 2 2 25 2 2 3 3 9" xfId="3522"/>
    <cellStyle name="Normal 2 2 2 2 25 2 2 3 4" xfId="3523"/>
    <cellStyle name="Normal 2 2 2 2 25 2 2 3 4 2" xfId="3524"/>
    <cellStyle name="Normal 2 2 2 2 25 2 2 3 5" xfId="3525"/>
    <cellStyle name="Normal 2 2 2 2 25 2 2 3 6" xfId="3526"/>
    <cellStyle name="Normal 2 2 2 2 25 2 2 3 7" xfId="3527"/>
    <cellStyle name="Normal 2 2 2 2 25 2 2 3 8" xfId="3528"/>
    <cellStyle name="Normal 2 2 2 2 25 2 2 3 9" xfId="3529"/>
    <cellStyle name="Normal 2 2 2 2 25 2 2 4" xfId="3530"/>
    <cellStyle name="Normal 2 2 2 2 25 2 2 4 10" xfId="3531"/>
    <cellStyle name="Normal 2 2 2 2 25 2 2 4 11" xfId="3532"/>
    <cellStyle name="Normal 2 2 2 2 25 2 2 4 2" xfId="3533"/>
    <cellStyle name="Normal 2 2 2 2 25 2 2 4 2 10" xfId="3534"/>
    <cellStyle name="Normal 2 2 2 2 25 2 2 4 2 11" xfId="3535"/>
    <cellStyle name="Normal 2 2 2 2 25 2 2 4 2 2" xfId="3536"/>
    <cellStyle name="Normal 2 2 2 2 25 2 2 4 2 2 2" xfId="3537"/>
    <cellStyle name="Normal 2 2 2 2 25 2 2 4 2 3" xfId="3538"/>
    <cellStyle name="Normal 2 2 2 2 25 2 2 4 2 4" xfId="3539"/>
    <cellStyle name="Normal 2 2 2 2 25 2 2 4 2 5" xfId="3540"/>
    <cellStyle name="Normal 2 2 2 2 25 2 2 4 2 6" xfId="3541"/>
    <cellStyle name="Normal 2 2 2 2 25 2 2 4 2 7" xfId="3542"/>
    <cellStyle name="Normal 2 2 2 2 25 2 2 4 2 8" xfId="3543"/>
    <cellStyle name="Normal 2 2 2 2 25 2 2 4 2 9" xfId="3544"/>
    <cellStyle name="Normal 2 2 2 2 25 2 2 4 3" xfId="3545"/>
    <cellStyle name="Normal 2 2 2 2 25 2 2 4 3 2" xfId="3546"/>
    <cellStyle name="Normal 2 2 2 2 25 2 2 4 4" xfId="3547"/>
    <cellStyle name="Normal 2 2 2 2 25 2 2 4 5" xfId="3548"/>
    <cellStyle name="Normal 2 2 2 2 25 2 2 4 6" xfId="3549"/>
    <cellStyle name="Normal 2 2 2 2 25 2 2 4 7" xfId="3550"/>
    <cellStyle name="Normal 2 2 2 2 25 2 2 4 8" xfId="3551"/>
    <cellStyle name="Normal 2 2 2 2 25 2 2 4 9" xfId="3552"/>
    <cellStyle name="Normal 2 2 2 2 25 2 2 5" xfId="3553"/>
    <cellStyle name="Normal 2 2 2 2 25 2 2 5 2" xfId="3554"/>
    <cellStyle name="Normal 2 2 2 2 25 2 2 6" xfId="3555"/>
    <cellStyle name="Normal 2 2 2 2 25 2 2 7" xfId="3556"/>
    <cellStyle name="Normal 2 2 2 2 25 2 2 8" xfId="3557"/>
    <cellStyle name="Normal 2 2 2 2 25 2 2 9" xfId="3558"/>
    <cellStyle name="Normal 2 2 2 2 25 2 3" xfId="3559"/>
    <cellStyle name="Normal 2 2 2 2 25 2 3 10" xfId="3560"/>
    <cellStyle name="Normal 2 2 2 2 25 2 3 11" xfId="3561"/>
    <cellStyle name="Normal 2 2 2 2 25 2 3 12" xfId="3562"/>
    <cellStyle name="Normal 2 2 2 2 25 2 3 13" xfId="3563"/>
    <cellStyle name="Normal 2 2 2 2 25 2 3 2" xfId="3564"/>
    <cellStyle name="Normal 2 2 2 2 25 2 3 2 10" xfId="3565"/>
    <cellStyle name="Normal 2 2 2 2 25 2 3 2 11" xfId="3566"/>
    <cellStyle name="Normal 2 2 2 2 25 2 3 2 12" xfId="3567"/>
    <cellStyle name="Normal 2 2 2 2 25 2 3 2 2" xfId="3568"/>
    <cellStyle name="Normal 2 2 2 2 25 2 3 2 2 10" xfId="3569"/>
    <cellStyle name="Normal 2 2 2 2 25 2 3 2 2 11" xfId="3570"/>
    <cellStyle name="Normal 2 2 2 2 25 2 3 2 2 12" xfId="3571"/>
    <cellStyle name="Normal 2 2 2 2 25 2 3 2 2 2" xfId="3572"/>
    <cellStyle name="Normal 2 2 2 2 25 2 3 2 2 2 10" xfId="3573"/>
    <cellStyle name="Normal 2 2 2 2 25 2 3 2 2 2 11" xfId="3574"/>
    <cellStyle name="Normal 2 2 2 2 25 2 3 2 2 2 2" xfId="3575"/>
    <cellStyle name="Normal 2 2 2 2 25 2 3 2 2 2 2 10" xfId="3576"/>
    <cellStyle name="Normal 2 2 2 2 25 2 3 2 2 2 2 11" xfId="3577"/>
    <cellStyle name="Normal 2 2 2 2 25 2 3 2 2 2 2 2" xfId="3578"/>
    <cellStyle name="Normal 2 2 2 2 25 2 3 2 2 2 2 2 2" xfId="3579"/>
    <cellStyle name="Normal 2 2 2 2 25 2 3 2 2 2 2 3" xfId="3580"/>
    <cellStyle name="Normal 2 2 2 2 25 2 3 2 2 2 2 4" xfId="3581"/>
    <cellStyle name="Normal 2 2 2 2 25 2 3 2 2 2 2 5" xfId="3582"/>
    <cellStyle name="Normal 2 2 2 2 25 2 3 2 2 2 2 6" xfId="3583"/>
    <cellStyle name="Normal 2 2 2 2 25 2 3 2 2 2 2 7" xfId="3584"/>
    <cellStyle name="Normal 2 2 2 2 25 2 3 2 2 2 2 8" xfId="3585"/>
    <cellStyle name="Normal 2 2 2 2 25 2 3 2 2 2 2 9" xfId="3586"/>
    <cellStyle name="Normal 2 2 2 2 25 2 3 2 2 2 3" xfId="3587"/>
    <cellStyle name="Normal 2 2 2 2 25 2 3 2 2 2 3 2" xfId="3588"/>
    <cellStyle name="Normal 2 2 2 2 25 2 3 2 2 2 4" xfId="3589"/>
    <cellStyle name="Normal 2 2 2 2 25 2 3 2 2 2 5" xfId="3590"/>
    <cellStyle name="Normal 2 2 2 2 25 2 3 2 2 2 6" xfId="3591"/>
    <cellStyle name="Normal 2 2 2 2 25 2 3 2 2 2 7" xfId="3592"/>
    <cellStyle name="Normal 2 2 2 2 25 2 3 2 2 2 8" xfId="3593"/>
    <cellStyle name="Normal 2 2 2 2 25 2 3 2 2 2 9" xfId="3594"/>
    <cellStyle name="Normal 2 2 2 2 25 2 3 2 2 3" xfId="3595"/>
    <cellStyle name="Normal 2 2 2 2 25 2 3 2 2 3 2" xfId="3596"/>
    <cellStyle name="Normal 2 2 2 2 25 2 3 2 2 4" xfId="3597"/>
    <cellStyle name="Normal 2 2 2 2 25 2 3 2 2 5" xfId="3598"/>
    <cellStyle name="Normal 2 2 2 2 25 2 3 2 2 6" xfId="3599"/>
    <cellStyle name="Normal 2 2 2 2 25 2 3 2 2 7" xfId="3600"/>
    <cellStyle name="Normal 2 2 2 2 25 2 3 2 2 8" xfId="3601"/>
    <cellStyle name="Normal 2 2 2 2 25 2 3 2 2 9" xfId="3602"/>
    <cellStyle name="Normal 2 2 2 2 25 2 3 2 3" xfId="3603"/>
    <cellStyle name="Normal 2 2 2 2 25 2 3 2 3 10" xfId="3604"/>
    <cellStyle name="Normal 2 2 2 2 25 2 3 2 3 11" xfId="3605"/>
    <cellStyle name="Normal 2 2 2 2 25 2 3 2 3 2" xfId="3606"/>
    <cellStyle name="Normal 2 2 2 2 25 2 3 2 3 2 2" xfId="3607"/>
    <cellStyle name="Normal 2 2 2 2 25 2 3 2 3 3" xfId="3608"/>
    <cellStyle name="Normal 2 2 2 2 25 2 3 2 3 4" xfId="3609"/>
    <cellStyle name="Normal 2 2 2 2 25 2 3 2 3 5" xfId="3610"/>
    <cellStyle name="Normal 2 2 2 2 25 2 3 2 3 6" xfId="3611"/>
    <cellStyle name="Normal 2 2 2 2 25 2 3 2 3 7" xfId="3612"/>
    <cellStyle name="Normal 2 2 2 2 25 2 3 2 3 8" xfId="3613"/>
    <cellStyle name="Normal 2 2 2 2 25 2 3 2 3 9" xfId="3614"/>
    <cellStyle name="Normal 2 2 2 2 25 2 3 2 4" xfId="3615"/>
    <cellStyle name="Normal 2 2 2 2 25 2 3 2 4 2" xfId="3616"/>
    <cellStyle name="Normal 2 2 2 2 25 2 3 2 5" xfId="3617"/>
    <cellStyle name="Normal 2 2 2 2 25 2 3 2 6" xfId="3618"/>
    <cellStyle name="Normal 2 2 2 2 25 2 3 2 7" xfId="3619"/>
    <cellStyle name="Normal 2 2 2 2 25 2 3 2 8" xfId="3620"/>
    <cellStyle name="Normal 2 2 2 2 25 2 3 2 9" xfId="3621"/>
    <cellStyle name="Normal 2 2 2 2 25 2 3 3" xfId="3622"/>
    <cellStyle name="Normal 2 2 2 2 25 2 3 3 10" xfId="3623"/>
    <cellStyle name="Normal 2 2 2 2 25 2 3 3 11" xfId="3624"/>
    <cellStyle name="Normal 2 2 2 2 25 2 3 3 2" xfId="3625"/>
    <cellStyle name="Normal 2 2 2 2 25 2 3 3 2 10" xfId="3626"/>
    <cellStyle name="Normal 2 2 2 2 25 2 3 3 2 11" xfId="3627"/>
    <cellStyle name="Normal 2 2 2 2 25 2 3 3 2 2" xfId="3628"/>
    <cellStyle name="Normal 2 2 2 2 25 2 3 3 2 2 2" xfId="3629"/>
    <cellStyle name="Normal 2 2 2 2 25 2 3 3 2 3" xfId="3630"/>
    <cellStyle name="Normal 2 2 2 2 25 2 3 3 2 4" xfId="3631"/>
    <cellStyle name="Normal 2 2 2 2 25 2 3 3 2 5" xfId="3632"/>
    <cellStyle name="Normal 2 2 2 2 25 2 3 3 2 6" xfId="3633"/>
    <cellStyle name="Normal 2 2 2 2 25 2 3 3 2 7" xfId="3634"/>
    <cellStyle name="Normal 2 2 2 2 25 2 3 3 2 8" xfId="3635"/>
    <cellStyle name="Normal 2 2 2 2 25 2 3 3 2 9" xfId="3636"/>
    <cellStyle name="Normal 2 2 2 2 25 2 3 3 3" xfId="3637"/>
    <cellStyle name="Normal 2 2 2 2 25 2 3 3 3 2" xfId="3638"/>
    <cellStyle name="Normal 2 2 2 2 25 2 3 3 4" xfId="3639"/>
    <cellStyle name="Normal 2 2 2 2 25 2 3 3 5" xfId="3640"/>
    <cellStyle name="Normal 2 2 2 2 25 2 3 3 6" xfId="3641"/>
    <cellStyle name="Normal 2 2 2 2 25 2 3 3 7" xfId="3642"/>
    <cellStyle name="Normal 2 2 2 2 25 2 3 3 8" xfId="3643"/>
    <cellStyle name="Normal 2 2 2 2 25 2 3 3 9" xfId="3644"/>
    <cellStyle name="Normal 2 2 2 2 25 2 3 4" xfId="3645"/>
    <cellStyle name="Normal 2 2 2 2 25 2 3 4 2" xfId="3646"/>
    <cellStyle name="Normal 2 2 2 2 25 2 3 5" xfId="3647"/>
    <cellStyle name="Normal 2 2 2 2 25 2 3 6" xfId="3648"/>
    <cellStyle name="Normal 2 2 2 2 25 2 3 7" xfId="3649"/>
    <cellStyle name="Normal 2 2 2 2 25 2 3 8" xfId="3650"/>
    <cellStyle name="Normal 2 2 2 2 25 2 3 9" xfId="3651"/>
    <cellStyle name="Normal 2 2 2 2 25 2 4" xfId="3652"/>
    <cellStyle name="Normal 2 2 2 2 25 2 4 10" xfId="3653"/>
    <cellStyle name="Normal 2 2 2 2 25 2 4 11" xfId="3654"/>
    <cellStyle name="Normal 2 2 2 2 25 2 4 12" xfId="3655"/>
    <cellStyle name="Normal 2 2 2 2 25 2 4 2" xfId="3656"/>
    <cellStyle name="Normal 2 2 2 2 25 2 4 2 10" xfId="3657"/>
    <cellStyle name="Normal 2 2 2 2 25 2 4 2 11" xfId="3658"/>
    <cellStyle name="Normal 2 2 2 2 25 2 4 2 2" xfId="3659"/>
    <cellStyle name="Normal 2 2 2 2 25 2 4 2 2 10" xfId="3660"/>
    <cellStyle name="Normal 2 2 2 2 25 2 4 2 2 11" xfId="3661"/>
    <cellStyle name="Normal 2 2 2 2 25 2 4 2 2 2" xfId="3662"/>
    <cellStyle name="Normal 2 2 2 2 25 2 4 2 2 2 2" xfId="3663"/>
    <cellStyle name="Normal 2 2 2 2 25 2 4 2 2 3" xfId="3664"/>
    <cellStyle name="Normal 2 2 2 2 25 2 4 2 2 4" xfId="3665"/>
    <cellStyle name="Normal 2 2 2 2 25 2 4 2 2 5" xfId="3666"/>
    <cellStyle name="Normal 2 2 2 2 25 2 4 2 2 6" xfId="3667"/>
    <cellStyle name="Normal 2 2 2 2 25 2 4 2 2 7" xfId="3668"/>
    <cellStyle name="Normal 2 2 2 2 25 2 4 2 2 8" xfId="3669"/>
    <cellStyle name="Normal 2 2 2 2 25 2 4 2 2 9" xfId="3670"/>
    <cellStyle name="Normal 2 2 2 2 25 2 4 2 3" xfId="3671"/>
    <cellStyle name="Normal 2 2 2 2 25 2 4 2 3 2" xfId="3672"/>
    <cellStyle name="Normal 2 2 2 2 25 2 4 2 4" xfId="3673"/>
    <cellStyle name="Normal 2 2 2 2 25 2 4 2 5" xfId="3674"/>
    <cellStyle name="Normal 2 2 2 2 25 2 4 2 6" xfId="3675"/>
    <cellStyle name="Normal 2 2 2 2 25 2 4 2 7" xfId="3676"/>
    <cellStyle name="Normal 2 2 2 2 25 2 4 2 8" xfId="3677"/>
    <cellStyle name="Normal 2 2 2 2 25 2 4 2 9" xfId="3678"/>
    <cellStyle name="Normal 2 2 2 2 25 2 4 3" xfId="3679"/>
    <cellStyle name="Normal 2 2 2 2 25 2 4 3 2" xfId="3680"/>
    <cellStyle name="Normal 2 2 2 2 25 2 4 4" xfId="3681"/>
    <cellStyle name="Normal 2 2 2 2 25 2 4 5" xfId="3682"/>
    <cellStyle name="Normal 2 2 2 2 25 2 4 6" xfId="3683"/>
    <cellStyle name="Normal 2 2 2 2 25 2 4 7" xfId="3684"/>
    <cellStyle name="Normal 2 2 2 2 25 2 4 8" xfId="3685"/>
    <cellStyle name="Normal 2 2 2 2 25 2 4 9" xfId="3686"/>
    <cellStyle name="Normal 2 2 2 2 25 2 5" xfId="3687"/>
    <cellStyle name="Normal 2 2 2 2 25 2 5 10" xfId="3688"/>
    <cellStyle name="Normal 2 2 2 2 25 2 5 11" xfId="3689"/>
    <cellStyle name="Normal 2 2 2 2 25 2 5 2" xfId="3690"/>
    <cellStyle name="Normal 2 2 2 2 25 2 5 2 2" xfId="3691"/>
    <cellStyle name="Normal 2 2 2 2 25 2 5 3" xfId="3692"/>
    <cellStyle name="Normal 2 2 2 2 25 2 5 4" xfId="3693"/>
    <cellStyle name="Normal 2 2 2 2 25 2 5 5" xfId="3694"/>
    <cellStyle name="Normal 2 2 2 2 25 2 5 6" xfId="3695"/>
    <cellStyle name="Normal 2 2 2 2 25 2 5 7" xfId="3696"/>
    <cellStyle name="Normal 2 2 2 2 25 2 5 8" xfId="3697"/>
    <cellStyle name="Normal 2 2 2 2 25 2 5 9" xfId="3698"/>
    <cellStyle name="Normal 2 2 2 2 25 2 6" xfId="3699"/>
    <cellStyle name="Normal 2 2 2 2 25 2 6 2" xfId="3700"/>
    <cellStyle name="Normal 2 2 2 2 25 2 7" xfId="3701"/>
    <cellStyle name="Normal 2 2 2 2 25 2 8" xfId="3702"/>
    <cellStyle name="Normal 2 2 2 2 25 2 9" xfId="3703"/>
    <cellStyle name="Normal 2 2 2 2 25 3" xfId="3704"/>
    <cellStyle name="Normal 2 2 2 2 25 3 10" xfId="3705"/>
    <cellStyle name="Normal 2 2 2 2 25 3 11" xfId="3706"/>
    <cellStyle name="Normal 2 2 2 2 25 3 12" xfId="3707"/>
    <cellStyle name="Normal 2 2 2 2 25 3 13" xfId="3708"/>
    <cellStyle name="Normal 2 2 2 2 25 3 2" xfId="3709"/>
    <cellStyle name="Normal 2 2 2 2 25 3 2 10" xfId="3710"/>
    <cellStyle name="Normal 2 2 2 2 25 3 2 11" xfId="3711"/>
    <cellStyle name="Normal 2 2 2 2 25 3 2 12" xfId="3712"/>
    <cellStyle name="Normal 2 2 2 2 25 3 2 13" xfId="3713"/>
    <cellStyle name="Normal 2 2 2 2 25 3 2 2" xfId="3714"/>
    <cellStyle name="Normal 2 2 2 2 25 3 2 2 10" xfId="3715"/>
    <cellStyle name="Normal 2 2 2 2 25 3 2 2 11" xfId="3716"/>
    <cellStyle name="Normal 2 2 2 2 25 3 2 2 12" xfId="3717"/>
    <cellStyle name="Normal 2 2 2 2 25 3 2 2 2" xfId="3718"/>
    <cellStyle name="Normal 2 2 2 2 25 3 2 2 2 10" xfId="3719"/>
    <cellStyle name="Normal 2 2 2 2 25 3 2 2 2 11" xfId="3720"/>
    <cellStyle name="Normal 2 2 2 2 25 3 2 2 2 12" xfId="3721"/>
    <cellStyle name="Normal 2 2 2 2 25 3 2 2 2 2" xfId="3722"/>
    <cellStyle name="Normal 2 2 2 2 25 3 2 2 2 2 10" xfId="3723"/>
    <cellStyle name="Normal 2 2 2 2 25 3 2 2 2 2 11" xfId="3724"/>
    <cellStyle name="Normal 2 2 2 2 25 3 2 2 2 2 2" xfId="3725"/>
    <cellStyle name="Normal 2 2 2 2 25 3 2 2 2 2 2 10" xfId="3726"/>
    <cellStyle name="Normal 2 2 2 2 25 3 2 2 2 2 2 11" xfId="3727"/>
    <cellStyle name="Normal 2 2 2 2 25 3 2 2 2 2 2 2" xfId="3728"/>
    <cellStyle name="Normal 2 2 2 2 25 3 2 2 2 2 2 2 2" xfId="3729"/>
    <cellStyle name="Normal 2 2 2 2 25 3 2 2 2 2 2 3" xfId="3730"/>
    <cellStyle name="Normal 2 2 2 2 25 3 2 2 2 2 2 4" xfId="3731"/>
    <cellStyle name="Normal 2 2 2 2 25 3 2 2 2 2 2 5" xfId="3732"/>
    <cellStyle name="Normal 2 2 2 2 25 3 2 2 2 2 2 6" xfId="3733"/>
    <cellStyle name="Normal 2 2 2 2 25 3 2 2 2 2 2 7" xfId="3734"/>
    <cellStyle name="Normal 2 2 2 2 25 3 2 2 2 2 2 8" xfId="3735"/>
    <cellStyle name="Normal 2 2 2 2 25 3 2 2 2 2 2 9" xfId="3736"/>
    <cellStyle name="Normal 2 2 2 2 25 3 2 2 2 2 3" xfId="3737"/>
    <cellStyle name="Normal 2 2 2 2 25 3 2 2 2 2 3 2" xfId="3738"/>
    <cellStyle name="Normal 2 2 2 2 25 3 2 2 2 2 4" xfId="3739"/>
    <cellStyle name="Normal 2 2 2 2 25 3 2 2 2 2 5" xfId="3740"/>
    <cellStyle name="Normal 2 2 2 2 25 3 2 2 2 2 6" xfId="3741"/>
    <cellStyle name="Normal 2 2 2 2 25 3 2 2 2 2 7" xfId="3742"/>
    <cellStyle name="Normal 2 2 2 2 25 3 2 2 2 2 8" xfId="3743"/>
    <cellStyle name="Normal 2 2 2 2 25 3 2 2 2 2 9" xfId="3744"/>
    <cellStyle name="Normal 2 2 2 2 25 3 2 2 2 3" xfId="3745"/>
    <cellStyle name="Normal 2 2 2 2 25 3 2 2 2 3 2" xfId="3746"/>
    <cellStyle name="Normal 2 2 2 2 25 3 2 2 2 4" xfId="3747"/>
    <cellStyle name="Normal 2 2 2 2 25 3 2 2 2 5" xfId="3748"/>
    <cellStyle name="Normal 2 2 2 2 25 3 2 2 2 6" xfId="3749"/>
    <cellStyle name="Normal 2 2 2 2 25 3 2 2 2 7" xfId="3750"/>
    <cellStyle name="Normal 2 2 2 2 25 3 2 2 2 8" xfId="3751"/>
    <cellStyle name="Normal 2 2 2 2 25 3 2 2 2 9" xfId="3752"/>
    <cellStyle name="Normal 2 2 2 2 25 3 2 2 3" xfId="3753"/>
    <cellStyle name="Normal 2 2 2 2 25 3 2 2 3 10" xfId="3754"/>
    <cellStyle name="Normal 2 2 2 2 25 3 2 2 3 11" xfId="3755"/>
    <cellStyle name="Normal 2 2 2 2 25 3 2 2 3 2" xfId="3756"/>
    <cellStyle name="Normal 2 2 2 2 25 3 2 2 3 2 2" xfId="3757"/>
    <cellStyle name="Normal 2 2 2 2 25 3 2 2 3 3" xfId="3758"/>
    <cellStyle name="Normal 2 2 2 2 25 3 2 2 3 4" xfId="3759"/>
    <cellStyle name="Normal 2 2 2 2 25 3 2 2 3 5" xfId="3760"/>
    <cellStyle name="Normal 2 2 2 2 25 3 2 2 3 6" xfId="3761"/>
    <cellStyle name="Normal 2 2 2 2 25 3 2 2 3 7" xfId="3762"/>
    <cellStyle name="Normal 2 2 2 2 25 3 2 2 3 8" xfId="3763"/>
    <cellStyle name="Normal 2 2 2 2 25 3 2 2 3 9" xfId="3764"/>
    <cellStyle name="Normal 2 2 2 2 25 3 2 2 4" xfId="3765"/>
    <cellStyle name="Normal 2 2 2 2 25 3 2 2 4 2" xfId="3766"/>
    <cellStyle name="Normal 2 2 2 2 25 3 2 2 5" xfId="3767"/>
    <cellStyle name="Normal 2 2 2 2 25 3 2 2 6" xfId="3768"/>
    <cellStyle name="Normal 2 2 2 2 25 3 2 2 7" xfId="3769"/>
    <cellStyle name="Normal 2 2 2 2 25 3 2 2 8" xfId="3770"/>
    <cellStyle name="Normal 2 2 2 2 25 3 2 2 9" xfId="3771"/>
    <cellStyle name="Normal 2 2 2 2 25 3 2 3" xfId="3772"/>
    <cellStyle name="Normal 2 2 2 2 25 3 2 3 10" xfId="3773"/>
    <cellStyle name="Normal 2 2 2 2 25 3 2 3 11" xfId="3774"/>
    <cellStyle name="Normal 2 2 2 2 25 3 2 3 2" xfId="3775"/>
    <cellStyle name="Normal 2 2 2 2 25 3 2 3 2 10" xfId="3776"/>
    <cellStyle name="Normal 2 2 2 2 25 3 2 3 2 11" xfId="3777"/>
    <cellStyle name="Normal 2 2 2 2 25 3 2 3 2 2" xfId="3778"/>
    <cellStyle name="Normal 2 2 2 2 25 3 2 3 2 2 2" xfId="3779"/>
    <cellStyle name="Normal 2 2 2 2 25 3 2 3 2 3" xfId="3780"/>
    <cellStyle name="Normal 2 2 2 2 25 3 2 3 2 4" xfId="3781"/>
    <cellStyle name="Normal 2 2 2 2 25 3 2 3 2 5" xfId="3782"/>
    <cellStyle name="Normal 2 2 2 2 25 3 2 3 2 6" xfId="3783"/>
    <cellStyle name="Normal 2 2 2 2 25 3 2 3 2 7" xfId="3784"/>
    <cellStyle name="Normal 2 2 2 2 25 3 2 3 2 8" xfId="3785"/>
    <cellStyle name="Normal 2 2 2 2 25 3 2 3 2 9" xfId="3786"/>
    <cellStyle name="Normal 2 2 2 2 25 3 2 3 3" xfId="3787"/>
    <cellStyle name="Normal 2 2 2 2 25 3 2 3 3 2" xfId="3788"/>
    <cellStyle name="Normal 2 2 2 2 25 3 2 3 4" xfId="3789"/>
    <cellStyle name="Normal 2 2 2 2 25 3 2 3 5" xfId="3790"/>
    <cellStyle name="Normal 2 2 2 2 25 3 2 3 6" xfId="3791"/>
    <cellStyle name="Normal 2 2 2 2 25 3 2 3 7" xfId="3792"/>
    <cellStyle name="Normal 2 2 2 2 25 3 2 3 8" xfId="3793"/>
    <cellStyle name="Normal 2 2 2 2 25 3 2 3 9" xfId="3794"/>
    <cellStyle name="Normal 2 2 2 2 25 3 2 4" xfId="3795"/>
    <cellStyle name="Normal 2 2 2 2 25 3 2 4 2" xfId="3796"/>
    <cellStyle name="Normal 2 2 2 2 25 3 2 5" xfId="3797"/>
    <cellStyle name="Normal 2 2 2 2 25 3 2 6" xfId="3798"/>
    <cellStyle name="Normal 2 2 2 2 25 3 2 7" xfId="3799"/>
    <cellStyle name="Normal 2 2 2 2 25 3 2 8" xfId="3800"/>
    <cellStyle name="Normal 2 2 2 2 25 3 2 9" xfId="3801"/>
    <cellStyle name="Normal 2 2 2 2 25 3 3" xfId="3802"/>
    <cellStyle name="Normal 2 2 2 2 25 3 3 10" xfId="3803"/>
    <cellStyle name="Normal 2 2 2 2 25 3 3 11" xfId="3804"/>
    <cellStyle name="Normal 2 2 2 2 25 3 3 12" xfId="3805"/>
    <cellStyle name="Normal 2 2 2 2 25 3 3 2" xfId="3806"/>
    <cellStyle name="Normal 2 2 2 2 25 3 3 2 10" xfId="3807"/>
    <cellStyle name="Normal 2 2 2 2 25 3 3 2 11" xfId="3808"/>
    <cellStyle name="Normal 2 2 2 2 25 3 3 2 2" xfId="3809"/>
    <cellStyle name="Normal 2 2 2 2 25 3 3 2 2 10" xfId="3810"/>
    <cellStyle name="Normal 2 2 2 2 25 3 3 2 2 11" xfId="3811"/>
    <cellStyle name="Normal 2 2 2 2 25 3 3 2 2 2" xfId="3812"/>
    <cellStyle name="Normal 2 2 2 2 25 3 3 2 2 2 2" xfId="3813"/>
    <cellStyle name="Normal 2 2 2 2 25 3 3 2 2 3" xfId="3814"/>
    <cellStyle name="Normal 2 2 2 2 25 3 3 2 2 4" xfId="3815"/>
    <cellStyle name="Normal 2 2 2 2 25 3 3 2 2 5" xfId="3816"/>
    <cellStyle name="Normal 2 2 2 2 25 3 3 2 2 6" xfId="3817"/>
    <cellStyle name="Normal 2 2 2 2 25 3 3 2 2 7" xfId="3818"/>
    <cellStyle name="Normal 2 2 2 2 25 3 3 2 2 8" xfId="3819"/>
    <cellStyle name="Normal 2 2 2 2 25 3 3 2 2 9" xfId="3820"/>
    <cellStyle name="Normal 2 2 2 2 25 3 3 2 3" xfId="3821"/>
    <cellStyle name="Normal 2 2 2 2 25 3 3 2 3 2" xfId="3822"/>
    <cellStyle name="Normal 2 2 2 2 25 3 3 2 4" xfId="3823"/>
    <cellStyle name="Normal 2 2 2 2 25 3 3 2 5" xfId="3824"/>
    <cellStyle name="Normal 2 2 2 2 25 3 3 2 6" xfId="3825"/>
    <cellStyle name="Normal 2 2 2 2 25 3 3 2 7" xfId="3826"/>
    <cellStyle name="Normal 2 2 2 2 25 3 3 2 8" xfId="3827"/>
    <cellStyle name="Normal 2 2 2 2 25 3 3 2 9" xfId="3828"/>
    <cellStyle name="Normal 2 2 2 2 25 3 3 3" xfId="3829"/>
    <cellStyle name="Normal 2 2 2 2 25 3 3 3 2" xfId="3830"/>
    <cellStyle name="Normal 2 2 2 2 25 3 3 4" xfId="3831"/>
    <cellStyle name="Normal 2 2 2 2 25 3 3 5" xfId="3832"/>
    <cellStyle name="Normal 2 2 2 2 25 3 3 6" xfId="3833"/>
    <cellStyle name="Normal 2 2 2 2 25 3 3 7" xfId="3834"/>
    <cellStyle name="Normal 2 2 2 2 25 3 3 8" xfId="3835"/>
    <cellStyle name="Normal 2 2 2 2 25 3 3 9" xfId="3836"/>
    <cellStyle name="Normal 2 2 2 2 25 3 4" xfId="3837"/>
    <cellStyle name="Normal 2 2 2 2 25 3 4 10" xfId="3838"/>
    <cellStyle name="Normal 2 2 2 2 25 3 4 11" xfId="3839"/>
    <cellStyle name="Normal 2 2 2 2 25 3 4 2" xfId="3840"/>
    <cellStyle name="Normal 2 2 2 2 25 3 4 2 2" xfId="3841"/>
    <cellStyle name="Normal 2 2 2 2 25 3 4 3" xfId="3842"/>
    <cellStyle name="Normal 2 2 2 2 25 3 4 4" xfId="3843"/>
    <cellStyle name="Normal 2 2 2 2 25 3 4 5" xfId="3844"/>
    <cellStyle name="Normal 2 2 2 2 25 3 4 6" xfId="3845"/>
    <cellStyle name="Normal 2 2 2 2 25 3 4 7" xfId="3846"/>
    <cellStyle name="Normal 2 2 2 2 25 3 4 8" xfId="3847"/>
    <cellStyle name="Normal 2 2 2 2 25 3 4 9" xfId="3848"/>
    <cellStyle name="Normal 2 2 2 2 25 3 5" xfId="3849"/>
    <cellStyle name="Normal 2 2 2 2 25 3 5 2" xfId="3850"/>
    <cellStyle name="Normal 2 2 2 2 25 3 6" xfId="3851"/>
    <cellStyle name="Normal 2 2 2 2 25 3 7" xfId="3852"/>
    <cellStyle name="Normal 2 2 2 2 25 3 8" xfId="3853"/>
    <cellStyle name="Normal 2 2 2 2 25 3 9" xfId="3854"/>
    <cellStyle name="Normal 2 2 2 2 25 4" xfId="3855"/>
    <cellStyle name="Normal 2 2 2 2 25 4 10" xfId="3856"/>
    <cellStyle name="Normal 2 2 2 2 25 4 11" xfId="3857"/>
    <cellStyle name="Normal 2 2 2 2 25 4 12" xfId="3858"/>
    <cellStyle name="Normal 2 2 2 2 25 4 2" xfId="3859"/>
    <cellStyle name="Normal 2 2 2 2 25 4 2 10" xfId="3860"/>
    <cellStyle name="Normal 2 2 2 2 25 4 2 11" xfId="3861"/>
    <cellStyle name="Normal 2 2 2 2 25 4 2 12" xfId="3862"/>
    <cellStyle name="Normal 2 2 2 2 25 4 2 2" xfId="3863"/>
    <cellStyle name="Normal 2 2 2 2 25 4 2 2 10" xfId="3864"/>
    <cellStyle name="Normal 2 2 2 2 25 4 2 2 11" xfId="3865"/>
    <cellStyle name="Normal 2 2 2 2 25 4 2 2 2" xfId="3866"/>
    <cellStyle name="Normal 2 2 2 2 25 4 2 2 2 10" xfId="3867"/>
    <cellStyle name="Normal 2 2 2 2 25 4 2 2 2 11" xfId="3868"/>
    <cellStyle name="Normal 2 2 2 2 25 4 2 2 2 2" xfId="3869"/>
    <cellStyle name="Normal 2 2 2 2 25 4 2 2 2 2 2" xfId="3870"/>
    <cellStyle name="Normal 2 2 2 2 25 4 2 2 2 3" xfId="3871"/>
    <cellStyle name="Normal 2 2 2 2 25 4 2 2 2 4" xfId="3872"/>
    <cellStyle name="Normal 2 2 2 2 25 4 2 2 2 5" xfId="3873"/>
    <cellStyle name="Normal 2 2 2 2 25 4 2 2 2 6" xfId="3874"/>
    <cellStyle name="Normal 2 2 2 2 25 4 2 2 2 7" xfId="3875"/>
    <cellStyle name="Normal 2 2 2 2 25 4 2 2 2 8" xfId="3876"/>
    <cellStyle name="Normal 2 2 2 2 25 4 2 2 2 9" xfId="3877"/>
    <cellStyle name="Normal 2 2 2 2 25 4 2 2 3" xfId="3878"/>
    <cellStyle name="Normal 2 2 2 2 25 4 2 2 3 2" xfId="3879"/>
    <cellStyle name="Normal 2 2 2 2 25 4 2 2 4" xfId="3880"/>
    <cellStyle name="Normal 2 2 2 2 25 4 2 2 5" xfId="3881"/>
    <cellStyle name="Normal 2 2 2 2 25 4 2 2 6" xfId="3882"/>
    <cellStyle name="Normal 2 2 2 2 25 4 2 2 7" xfId="3883"/>
    <cellStyle name="Normal 2 2 2 2 25 4 2 2 8" xfId="3884"/>
    <cellStyle name="Normal 2 2 2 2 25 4 2 2 9" xfId="3885"/>
    <cellStyle name="Normal 2 2 2 2 25 4 2 3" xfId="3886"/>
    <cellStyle name="Normal 2 2 2 2 25 4 2 3 2" xfId="3887"/>
    <cellStyle name="Normal 2 2 2 2 25 4 2 4" xfId="3888"/>
    <cellStyle name="Normal 2 2 2 2 25 4 2 5" xfId="3889"/>
    <cellStyle name="Normal 2 2 2 2 25 4 2 6" xfId="3890"/>
    <cellStyle name="Normal 2 2 2 2 25 4 2 7" xfId="3891"/>
    <cellStyle name="Normal 2 2 2 2 25 4 2 8" xfId="3892"/>
    <cellStyle name="Normal 2 2 2 2 25 4 2 9" xfId="3893"/>
    <cellStyle name="Normal 2 2 2 2 25 4 3" xfId="3894"/>
    <cellStyle name="Normal 2 2 2 2 25 4 3 10" xfId="3895"/>
    <cellStyle name="Normal 2 2 2 2 25 4 3 11" xfId="3896"/>
    <cellStyle name="Normal 2 2 2 2 25 4 3 2" xfId="3897"/>
    <cellStyle name="Normal 2 2 2 2 25 4 3 2 2" xfId="3898"/>
    <cellStyle name="Normal 2 2 2 2 25 4 3 3" xfId="3899"/>
    <cellStyle name="Normal 2 2 2 2 25 4 3 4" xfId="3900"/>
    <cellStyle name="Normal 2 2 2 2 25 4 3 5" xfId="3901"/>
    <cellStyle name="Normal 2 2 2 2 25 4 3 6" xfId="3902"/>
    <cellStyle name="Normal 2 2 2 2 25 4 3 7" xfId="3903"/>
    <cellStyle name="Normal 2 2 2 2 25 4 3 8" xfId="3904"/>
    <cellStyle name="Normal 2 2 2 2 25 4 3 9" xfId="3905"/>
    <cellStyle name="Normal 2 2 2 2 25 4 4" xfId="3906"/>
    <cellStyle name="Normal 2 2 2 2 25 4 4 2" xfId="3907"/>
    <cellStyle name="Normal 2 2 2 2 25 4 5" xfId="3908"/>
    <cellStyle name="Normal 2 2 2 2 25 4 6" xfId="3909"/>
    <cellStyle name="Normal 2 2 2 2 25 4 7" xfId="3910"/>
    <cellStyle name="Normal 2 2 2 2 25 4 8" xfId="3911"/>
    <cellStyle name="Normal 2 2 2 2 25 4 9" xfId="3912"/>
    <cellStyle name="Normal 2 2 2 2 25 5" xfId="3913"/>
    <cellStyle name="Normal 2 2 2 2 25 5 10" xfId="3914"/>
    <cellStyle name="Normal 2 2 2 2 25 5 11" xfId="3915"/>
    <cellStyle name="Normal 2 2 2 2 25 5 2" xfId="3916"/>
    <cellStyle name="Normal 2 2 2 2 25 5 2 10" xfId="3917"/>
    <cellStyle name="Normal 2 2 2 2 25 5 2 11" xfId="3918"/>
    <cellStyle name="Normal 2 2 2 2 25 5 2 2" xfId="3919"/>
    <cellStyle name="Normal 2 2 2 2 25 5 2 2 2" xfId="3920"/>
    <cellStyle name="Normal 2 2 2 2 25 5 2 3" xfId="3921"/>
    <cellStyle name="Normal 2 2 2 2 25 5 2 4" xfId="3922"/>
    <cellStyle name="Normal 2 2 2 2 25 5 2 5" xfId="3923"/>
    <cellStyle name="Normal 2 2 2 2 25 5 2 6" xfId="3924"/>
    <cellStyle name="Normal 2 2 2 2 25 5 2 7" xfId="3925"/>
    <cellStyle name="Normal 2 2 2 2 25 5 2 8" xfId="3926"/>
    <cellStyle name="Normal 2 2 2 2 25 5 2 9" xfId="3927"/>
    <cellStyle name="Normal 2 2 2 2 25 5 3" xfId="3928"/>
    <cellStyle name="Normal 2 2 2 2 25 5 3 2" xfId="3929"/>
    <cellStyle name="Normal 2 2 2 2 25 5 4" xfId="3930"/>
    <cellStyle name="Normal 2 2 2 2 25 5 5" xfId="3931"/>
    <cellStyle name="Normal 2 2 2 2 25 5 6" xfId="3932"/>
    <cellStyle name="Normal 2 2 2 2 25 5 7" xfId="3933"/>
    <cellStyle name="Normal 2 2 2 2 25 5 8" xfId="3934"/>
    <cellStyle name="Normal 2 2 2 2 25 5 9" xfId="3935"/>
    <cellStyle name="Normal 2 2 2 2 25 6" xfId="3936"/>
    <cellStyle name="Normal 2 2 2 2 25 6 2" xfId="3937"/>
    <cellStyle name="Normal 2 2 2 2 25 7" xfId="3938"/>
    <cellStyle name="Normal 2 2 2 2 25 8" xfId="3939"/>
    <cellStyle name="Normal 2 2 2 2 25 9" xfId="3940"/>
    <cellStyle name="Normal 2 2 2 2 26" xfId="3941"/>
    <cellStyle name="Normal 2 2 2 2 26 10" xfId="3942"/>
    <cellStyle name="Normal 2 2 2 2 26 11" xfId="3943"/>
    <cellStyle name="Normal 2 2 2 2 26 12" xfId="3944"/>
    <cellStyle name="Normal 2 2 2 2 26 13" xfId="3945"/>
    <cellStyle name="Normal 2 2 2 2 26 14" xfId="3946"/>
    <cellStyle name="Normal 2 2 2 2 26 2" xfId="3947"/>
    <cellStyle name="Normal 2 2 2 2 26 2 10" xfId="3948"/>
    <cellStyle name="Normal 2 2 2 2 26 2 11" xfId="3949"/>
    <cellStyle name="Normal 2 2 2 2 26 2 12" xfId="3950"/>
    <cellStyle name="Normal 2 2 2 2 26 2 13" xfId="3951"/>
    <cellStyle name="Normal 2 2 2 2 26 2 2" xfId="3952"/>
    <cellStyle name="Normal 2 2 2 2 26 2 2 10" xfId="3953"/>
    <cellStyle name="Normal 2 2 2 2 26 2 2 11" xfId="3954"/>
    <cellStyle name="Normal 2 2 2 2 26 2 2 12" xfId="3955"/>
    <cellStyle name="Normal 2 2 2 2 26 2 2 13" xfId="3956"/>
    <cellStyle name="Normal 2 2 2 2 26 2 2 2" xfId="3957"/>
    <cellStyle name="Normal 2 2 2 2 26 2 2 2 10" xfId="3958"/>
    <cellStyle name="Normal 2 2 2 2 26 2 2 2 11" xfId="3959"/>
    <cellStyle name="Normal 2 2 2 2 26 2 2 2 12" xfId="3960"/>
    <cellStyle name="Normal 2 2 2 2 26 2 2 2 2" xfId="3961"/>
    <cellStyle name="Normal 2 2 2 2 26 2 2 2 2 10" xfId="3962"/>
    <cellStyle name="Normal 2 2 2 2 26 2 2 2 2 11" xfId="3963"/>
    <cellStyle name="Normal 2 2 2 2 26 2 2 2 2 12" xfId="3964"/>
    <cellStyle name="Normal 2 2 2 2 26 2 2 2 2 2" xfId="3965"/>
    <cellStyle name="Normal 2 2 2 2 26 2 2 2 2 2 10" xfId="3966"/>
    <cellStyle name="Normal 2 2 2 2 26 2 2 2 2 2 11" xfId="3967"/>
    <cellStyle name="Normal 2 2 2 2 26 2 2 2 2 2 2" xfId="3968"/>
    <cellStyle name="Normal 2 2 2 2 26 2 2 2 2 2 2 10" xfId="3969"/>
    <cellStyle name="Normal 2 2 2 2 26 2 2 2 2 2 2 11" xfId="3970"/>
    <cellStyle name="Normal 2 2 2 2 26 2 2 2 2 2 2 2" xfId="3971"/>
    <cellStyle name="Normal 2 2 2 2 26 2 2 2 2 2 2 2 2" xfId="3972"/>
    <cellStyle name="Normal 2 2 2 2 26 2 2 2 2 2 2 3" xfId="3973"/>
    <cellStyle name="Normal 2 2 2 2 26 2 2 2 2 2 2 4" xfId="3974"/>
    <cellStyle name="Normal 2 2 2 2 26 2 2 2 2 2 2 5" xfId="3975"/>
    <cellStyle name="Normal 2 2 2 2 26 2 2 2 2 2 2 6" xfId="3976"/>
    <cellStyle name="Normal 2 2 2 2 26 2 2 2 2 2 2 7" xfId="3977"/>
    <cellStyle name="Normal 2 2 2 2 26 2 2 2 2 2 2 8" xfId="3978"/>
    <cellStyle name="Normal 2 2 2 2 26 2 2 2 2 2 2 9" xfId="3979"/>
    <cellStyle name="Normal 2 2 2 2 26 2 2 2 2 2 3" xfId="3980"/>
    <cellStyle name="Normal 2 2 2 2 26 2 2 2 2 2 3 2" xfId="3981"/>
    <cellStyle name="Normal 2 2 2 2 26 2 2 2 2 2 4" xfId="3982"/>
    <cellStyle name="Normal 2 2 2 2 26 2 2 2 2 2 5" xfId="3983"/>
    <cellStyle name="Normal 2 2 2 2 26 2 2 2 2 2 6" xfId="3984"/>
    <cellStyle name="Normal 2 2 2 2 26 2 2 2 2 2 7" xfId="3985"/>
    <cellStyle name="Normal 2 2 2 2 26 2 2 2 2 2 8" xfId="3986"/>
    <cellStyle name="Normal 2 2 2 2 26 2 2 2 2 2 9" xfId="3987"/>
    <cellStyle name="Normal 2 2 2 2 26 2 2 2 2 3" xfId="3988"/>
    <cellStyle name="Normal 2 2 2 2 26 2 2 2 2 3 2" xfId="3989"/>
    <cellStyle name="Normal 2 2 2 2 26 2 2 2 2 4" xfId="3990"/>
    <cellStyle name="Normal 2 2 2 2 26 2 2 2 2 5" xfId="3991"/>
    <cellStyle name="Normal 2 2 2 2 26 2 2 2 2 6" xfId="3992"/>
    <cellStyle name="Normal 2 2 2 2 26 2 2 2 2 7" xfId="3993"/>
    <cellStyle name="Normal 2 2 2 2 26 2 2 2 2 8" xfId="3994"/>
    <cellStyle name="Normal 2 2 2 2 26 2 2 2 2 9" xfId="3995"/>
    <cellStyle name="Normal 2 2 2 2 26 2 2 2 3" xfId="3996"/>
    <cellStyle name="Normal 2 2 2 2 26 2 2 2 3 10" xfId="3997"/>
    <cellStyle name="Normal 2 2 2 2 26 2 2 2 3 11" xfId="3998"/>
    <cellStyle name="Normal 2 2 2 2 26 2 2 2 3 2" xfId="3999"/>
    <cellStyle name="Normal 2 2 2 2 26 2 2 2 3 2 2" xfId="4000"/>
    <cellStyle name="Normal 2 2 2 2 26 2 2 2 3 3" xfId="4001"/>
    <cellStyle name="Normal 2 2 2 2 26 2 2 2 3 4" xfId="4002"/>
    <cellStyle name="Normal 2 2 2 2 26 2 2 2 3 5" xfId="4003"/>
    <cellStyle name="Normal 2 2 2 2 26 2 2 2 3 6" xfId="4004"/>
    <cellStyle name="Normal 2 2 2 2 26 2 2 2 3 7" xfId="4005"/>
    <cellStyle name="Normal 2 2 2 2 26 2 2 2 3 8" xfId="4006"/>
    <cellStyle name="Normal 2 2 2 2 26 2 2 2 3 9" xfId="4007"/>
    <cellStyle name="Normal 2 2 2 2 26 2 2 2 4" xfId="4008"/>
    <cellStyle name="Normal 2 2 2 2 26 2 2 2 4 2" xfId="4009"/>
    <cellStyle name="Normal 2 2 2 2 26 2 2 2 5" xfId="4010"/>
    <cellStyle name="Normal 2 2 2 2 26 2 2 2 6" xfId="4011"/>
    <cellStyle name="Normal 2 2 2 2 26 2 2 2 7" xfId="4012"/>
    <cellStyle name="Normal 2 2 2 2 26 2 2 2 8" xfId="4013"/>
    <cellStyle name="Normal 2 2 2 2 26 2 2 2 9" xfId="4014"/>
    <cellStyle name="Normal 2 2 2 2 26 2 2 3" xfId="4015"/>
    <cellStyle name="Normal 2 2 2 2 26 2 2 3 10" xfId="4016"/>
    <cellStyle name="Normal 2 2 2 2 26 2 2 3 11" xfId="4017"/>
    <cellStyle name="Normal 2 2 2 2 26 2 2 3 2" xfId="4018"/>
    <cellStyle name="Normal 2 2 2 2 26 2 2 3 2 10" xfId="4019"/>
    <cellStyle name="Normal 2 2 2 2 26 2 2 3 2 11" xfId="4020"/>
    <cellStyle name="Normal 2 2 2 2 26 2 2 3 2 2" xfId="4021"/>
    <cellStyle name="Normal 2 2 2 2 26 2 2 3 2 2 2" xfId="4022"/>
    <cellStyle name="Normal 2 2 2 2 26 2 2 3 2 3" xfId="4023"/>
    <cellStyle name="Normal 2 2 2 2 26 2 2 3 2 4" xfId="4024"/>
    <cellStyle name="Normal 2 2 2 2 26 2 2 3 2 5" xfId="4025"/>
    <cellStyle name="Normal 2 2 2 2 26 2 2 3 2 6" xfId="4026"/>
    <cellStyle name="Normal 2 2 2 2 26 2 2 3 2 7" xfId="4027"/>
    <cellStyle name="Normal 2 2 2 2 26 2 2 3 2 8" xfId="4028"/>
    <cellStyle name="Normal 2 2 2 2 26 2 2 3 2 9" xfId="4029"/>
    <cellStyle name="Normal 2 2 2 2 26 2 2 3 3" xfId="4030"/>
    <cellStyle name="Normal 2 2 2 2 26 2 2 3 3 2" xfId="4031"/>
    <cellStyle name="Normal 2 2 2 2 26 2 2 3 4" xfId="4032"/>
    <cellStyle name="Normal 2 2 2 2 26 2 2 3 5" xfId="4033"/>
    <cellStyle name="Normal 2 2 2 2 26 2 2 3 6" xfId="4034"/>
    <cellStyle name="Normal 2 2 2 2 26 2 2 3 7" xfId="4035"/>
    <cellStyle name="Normal 2 2 2 2 26 2 2 3 8" xfId="4036"/>
    <cellStyle name="Normal 2 2 2 2 26 2 2 3 9" xfId="4037"/>
    <cellStyle name="Normal 2 2 2 2 26 2 2 4" xfId="4038"/>
    <cellStyle name="Normal 2 2 2 2 26 2 2 4 2" xfId="4039"/>
    <cellStyle name="Normal 2 2 2 2 26 2 2 5" xfId="4040"/>
    <cellStyle name="Normal 2 2 2 2 26 2 2 6" xfId="4041"/>
    <cellStyle name="Normal 2 2 2 2 26 2 2 7" xfId="4042"/>
    <cellStyle name="Normal 2 2 2 2 26 2 2 8" xfId="4043"/>
    <cellStyle name="Normal 2 2 2 2 26 2 2 9" xfId="4044"/>
    <cellStyle name="Normal 2 2 2 2 26 2 3" xfId="4045"/>
    <cellStyle name="Normal 2 2 2 2 26 2 3 10" xfId="4046"/>
    <cellStyle name="Normal 2 2 2 2 26 2 3 11" xfId="4047"/>
    <cellStyle name="Normal 2 2 2 2 26 2 3 12" xfId="4048"/>
    <cellStyle name="Normal 2 2 2 2 26 2 3 2" xfId="4049"/>
    <cellStyle name="Normal 2 2 2 2 26 2 3 2 10" xfId="4050"/>
    <cellStyle name="Normal 2 2 2 2 26 2 3 2 11" xfId="4051"/>
    <cellStyle name="Normal 2 2 2 2 26 2 3 2 2" xfId="4052"/>
    <cellStyle name="Normal 2 2 2 2 26 2 3 2 2 10" xfId="4053"/>
    <cellStyle name="Normal 2 2 2 2 26 2 3 2 2 11" xfId="4054"/>
    <cellStyle name="Normal 2 2 2 2 26 2 3 2 2 2" xfId="4055"/>
    <cellStyle name="Normal 2 2 2 2 26 2 3 2 2 2 2" xfId="4056"/>
    <cellStyle name="Normal 2 2 2 2 26 2 3 2 2 3" xfId="4057"/>
    <cellStyle name="Normal 2 2 2 2 26 2 3 2 2 4" xfId="4058"/>
    <cellStyle name="Normal 2 2 2 2 26 2 3 2 2 5" xfId="4059"/>
    <cellStyle name="Normal 2 2 2 2 26 2 3 2 2 6" xfId="4060"/>
    <cellStyle name="Normal 2 2 2 2 26 2 3 2 2 7" xfId="4061"/>
    <cellStyle name="Normal 2 2 2 2 26 2 3 2 2 8" xfId="4062"/>
    <cellStyle name="Normal 2 2 2 2 26 2 3 2 2 9" xfId="4063"/>
    <cellStyle name="Normal 2 2 2 2 26 2 3 2 3" xfId="4064"/>
    <cellStyle name="Normal 2 2 2 2 26 2 3 2 3 2" xfId="4065"/>
    <cellStyle name="Normal 2 2 2 2 26 2 3 2 4" xfId="4066"/>
    <cellStyle name="Normal 2 2 2 2 26 2 3 2 5" xfId="4067"/>
    <cellStyle name="Normal 2 2 2 2 26 2 3 2 6" xfId="4068"/>
    <cellStyle name="Normal 2 2 2 2 26 2 3 2 7" xfId="4069"/>
    <cellStyle name="Normal 2 2 2 2 26 2 3 2 8" xfId="4070"/>
    <cellStyle name="Normal 2 2 2 2 26 2 3 2 9" xfId="4071"/>
    <cellStyle name="Normal 2 2 2 2 26 2 3 3" xfId="4072"/>
    <cellStyle name="Normal 2 2 2 2 26 2 3 3 2" xfId="4073"/>
    <cellStyle name="Normal 2 2 2 2 26 2 3 4" xfId="4074"/>
    <cellStyle name="Normal 2 2 2 2 26 2 3 5" xfId="4075"/>
    <cellStyle name="Normal 2 2 2 2 26 2 3 6" xfId="4076"/>
    <cellStyle name="Normal 2 2 2 2 26 2 3 7" xfId="4077"/>
    <cellStyle name="Normal 2 2 2 2 26 2 3 8" xfId="4078"/>
    <cellStyle name="Normal 2 2 2 2 26 2 3 9" xfId="4079"/>
    <cellStyle name="Normal 2 2 2 2 26 2 4" xfId="4080"/>
    <cellStyle name="Normal 2 2 2 2 26 2 4 10" xfId="4081"/>
    <cellStyle name="Normal 2 2 2 2 26 2 4 11" xfId="4082"/>
    <cellStyle name="Normal 2 2 2 2 26 2 4 2" xfId="4083"/>
    <cellStyle name="Normal 2 2 2 2 26 2 4 2 2" xfId="4084"/>
    <cellStyle name="Normal 2 2 2 2 26 2 4 3" xfId="4085"/>
    <cellStyle name="Normal 2 2 2 2 26 2 4 4" xfId="4086"/>
    <cellStyle name="Normal 2 2 2 2 26 2 4 5" xfId="4087"/>
    <cellStyle name="Normal 2 2 2 2 26 2 4 6" xfId="4088"/>
    <cellStyle name="Normal 2 2 2 2 26 2 4 7" xfId="4089"/>
    <cellStyle name="Normal 2 2 2 2 26 2 4 8" xfId="4090"/>
    <cellStyle name="Normal 2 2 2 2 26 2 4 9" xfId="4091"/>
    <cellStyle name="Normal 2 2 2 2 26 2 5" xfId="4092"/>
    <cellStyle name="Normal 2 2 2 2 26 2 5 2" xfId="4093"/>
    <cellStyle name="Normal 2 2 2 2 26 2 6" xfId="4094"/>
    <cellStyle name="Normal 2 2 2 2 26 2 7" xfId="4095"/>
    <cellStyle name="Normal 2 2 2 2 26 2 8" xfId="4096"/>
    <cellStyle name="Normal 2 2 2 2 26 2 9" xfId="4097"/>
    <cellStyle name="Normal 2 2 2 2 26 3" xfId="4098"/>
    <cellStyle name="Normal 2 2 2 2 26 3 10" xfId="4099"/>
    <cellStyle name="Normal 2 2 2 2 26 3 11" xfId="4100"/>
    <cellStyle name="Normal 2 2 2 2 26 3 12" xfId="4101"/>
    <cellStyle name="Normal 2 2 2 2 26 3 2" xfId="4102"/>
    <cellStyle name="Normal 2 2 2 2 26 3 2 10" xfId="4103"/>
    <cellStyle name="Normal 2 2 2 2 26 3 2 11" xfId="4104"/>
    <cellStyle name="Normal 2 2 2 2 26 3 2 12" xfId="4105"/>
    <cellStyle name="Normal 2 2 2 2 26 3 2 2" xfId="4106"/>
    <cellStyle name="Normal 2 2 2 2 26 3 2 2 10" xfId="4107"/>
    <cellStyle name="Normal 2 2 2 2 26 3 2 2 11" xfId="4108"/>
    <cellStyle name="Normal 2 2 2 2 26 3 2 2 2" xfId="4109"/>
    <cellStyle name="Normal 2 2 2 2 26 3 2 2 2 10" xfId="4110"/>
    <cellStyle name="Normal 2 2 2 2 26 3 2 2 2 11" xfId="4111"/>
    <cellStyle name="Normal 2 2 2 2 26 3 2 2 2 2" xfId="4112"/>
    <cellStyle name="Normal 2 2 2 2 26 3 2 2 2 2 2" xfId="4113"/>
    <cellStyle name="Normal 2 2 2 2 26 3 2 2 2 3" xfId="4114"/>
    <cellStyle name="Normal 2 2 2 2 26 3 2 2 2 4" xfId="4115"/>
    <cellStyle name="Normal 2 2 2 2 26 3 2 2 2 5" xfId="4116"/>
    <cellStyle name="Normal 2 2 2 2 26 3 2 2 2 6" xfId="4117"/>
    <cellStyle name="Normal 2 2 2 2 26 3 2 2 2 7" xfId="4118"/>
    <cellStyle name="Normal 2 2 2 2 26 3 2 2 2 8" xfId="4119"/>
    <cellStyle name="Normal 2 2 2 2 26 3 2 2 2 9" xfId="4120"/>
    <cellStyle name="Normal 2 2 2 2 26 3 2 2 3" xfId="4121"/>
    <cellStyle name="Normal 2 2 2 2 26 3 2 2 3 2" xfId="4122"/>
    <cellStyle name="Normal 2 2 2 2 26 3 2 2 4" xfId="4123"/>
    <cellStyle name="Normal 2 2 2 2 26 3 2 2 5" xfId="4124"/>
    <cellStyle name="Normal 2 2 2 2 26 3 2 2 6" xfId="4125"/>
    <cellStyle name="Normal 2 2 2 2 26 3 2 2 7" xfId="4126"/>
    <cellStyle name="Normal 2 2 2 2 26 3 2 2 8" xfId="4127"/>
    <cellStyle name="Normal 2 2 2 2 26 3 2 2 9" xfId="4128"/>
    <cellStyle name="Normal 2 2 2 2 26 3 2 3" xfId="4129"/>
    <cellStyle name="Normal 2 2 2 2 26 3 2 3 2" xfId="4130"/>
    <cellStyle name="Normal 2 2 2 2 26 3 2 4" xfId="4131"/>
    <cellStyle name="Normal 2 2 2 2 26 3 2 5" xfId="4132"/>
    <cellStyle name="Normal 2 2 2 2 26 3 2 6" xfId="4133"/>
    <cellStyle name="Normal 2 2 2 2 26 3 2 7" xfId="4134"/>
    <cellStyle name="Normal 2 2 2 2 26 3 2 8" xfId="4135"/>
    <cellStyle name="Normal 2 2 2 2 26 3 2 9" xfId="4136"/>
    <cellStyle name="Normal 2 2 2 2 26 3 3" xfId="4137"/>
    <cellStyle name="Normal 2 2 2 2 26 3 3 10" xfId="4138"/>
    <cellStyle name="Normal 2 2 2 2 26 3 3 11" xfId="4139"/>
    <cellStyle name="Normal 2 2 2 2 26 3 3 2" xfId="4140"/>
    <cellStyle name="Normal 2 2 2 2 26 3 3 2 2" xfId="4141"/>
    <cellStyle name="Normal 2 2 2 2 26 3 3 3" xfId="4142"/>
    <cellStyle name="Normal 2 2 2 2 26 3 3 4" xfId="4143"/>
    <cellStyle name="Normal 2 2 2 2 26 3 3 5" xfId="4144"/>
    <cellStyle name="Normal 2 2 2 2 26 3 3 6" xfId="4145"/>
    <cellStyle name="Normal 2 2 2 2 26 3 3 7" xfId="4146"/>
    <cellStyle name="Normal 2 2 2 2 26 3 3 8" xfId="4147"/>
    <cellStyle name="Normal 2 2 2 2 26 3 3 9" xfId="4148"/>
    <cellStyle name="Normal 2 2 2 2 26 3 4" xfId="4149"/>
    <cellStyle name="Normal 2 2 2 2 26 3 4 2" xfId="4150"/>
    <cellStyle name="Normal 2 2 2 2 26 3 5" xfId="4151"/>
    <cellStyle name="Normal 2 2 2 2 26 3 6" xfId="4152"/>
    <cellStyle name="Normal 2 2 2 2 26 3 7" xfId="4153"/>
    <cellStyle name="Normal 2 2 2 2 26 3 8" xfId="4154"/>
    <cellStyle name="Normal 2 2 2 2 26 3 9" xfId="4155"/>
    <cellStyle name="Normal 2 2 2 2 26 4" xfId="4156"/>
    <cellStyle name="Normal 2 2 2 2 26 4 10" xfId="4157"/>
    <cellStyle name="Normal 2 2 2 2 26 4 11" xfId="4158"/>
    <cellStyle name="Normal 2 2 2 2 26 4 2" xfId="4159"/>
    <cellStyle name="Normal 2 2 2 2 26 4 2 10" xfId="4160"/>
    <cellStyle name="Normal 2 2 2 2 26 4 2 11" xfId="4161"/>
    <cellStyle name="Normal 2 2 2 2 26 4 2 2" xfId="4162"/>
    <cellStyle name="Normal 2 2 2 2 26 4 2 2 2" xfId="4163"/>
    <cellStyle name="Normal 2 2 2 2 26 4 2 3" xfId="4164"/>
    <cellStyle name="Normal 2 2 2 2 26 4 2 4" xfId="4165"/>
    <cellStyle name="Normal 2 2 2 2 26 4 2 5" xfId="4166"/>
    <cellStyle name="Normal 2 2 2 2 26 4 2 6" xfId="4167"/>
    <cellStyle name="Normal 2 2 2 2 26 4 2 7" xfId="4168"/>
    <cellStyle name="Normal 2 2 2 2 26 4 2 8" xfId="4169"/>
    <cellStyle name="Normal 2 2 2 2 26 4 2 9" xfId="4170"/>
    <cellStyle name="Normal 2 2 2 2 26 4 3" xfId="4171"/>
    <cellStyle name="Normal 2 2 2 2 26 4 3 2" xfId="4172"/>
    <cellStyle name="Normal 2 2 2 2 26 4 4" xfId="4173"/>
    <cellStyle name="Normal 2 2 2 2 26 4 5" xfId="4174"/>
    <cellStyle name="Normal 2 2 2 2 26 4 6" xfId="4175"/>
    <cellStyle name="Normal 2 2 2 2 26 4 7" xfId="4176"/>
    <cellStyle name="Normal 2 2 2 2 26 4 8" xfId="4177"/>
    <cellStyle name="Normal 2 2 2 2 26 4 9" xfId="4178"/>
    <cellStyle name="Normal 2 2 2 2 26 5" xfId="4179"/>
    <cellStyle name="Normal 2 2 2 2 26 5 2" xfId="4180"/>
    <cellStyle name="Normal 2 2 2 2 26 6" xfId="4181"/>
    <cellStyle name="Normal 2 2 2 2 26 7" xfId="4182"/>
    <cellStyle name="Normal 2 2 2 2 26 8" xfId="4183"/>
    <cellStyle name="Normal 2 2 2 2 26 9" xfId="4184"/>
    <cellStyle name="Normal 2 2 2 2 27" xfId="4185"/>
    <cellStyle name="Normal 2 2 2 2 27 10" xfId="4186"/>
    <cellStyle name="Normal 2 2 2 2 27 11" xfId="4187"/>
    <cellStyle name="Normal 2 2 2 2 27 12" xfId="4188"/>
    <cellStyle name="Normal 2 2 2 2 27 13" xfId="4189"/>
    <cellStyle name="Normal 2 2 2 2 27 2" xfId="4190"/>
    <cellStyle name="Normal 2 2 2 2 27 2 10" xfId="4191"/>
    <cellStyle name="Normal 2 2 2 2 27 2 11" xfId="4192"/>
    <cellStyle name="Normal 2 2 2 2 27 2 12" xfId="4193"/>
    <cellStyle name="Normal 2 2 2 2 27 2 2" xfId="4194"/>
    <cellStyle name="Normal 2 2 2 2 27 2 2 10" xfId="4195"/>
    <cellStyle name="Normal 2 2 2 2 27 2 2 11" xfId="4196"/>
    <cellStyle name="Normal 2 2 2 2 27 2 2 12" xfId="4197"/>
    <cellStyle name="Normal 2 2 2 2 27 2 2 2" xfId="4198"/>
    <cellStyle name="Normal 2 2 2 2 27 2 2 2 10" xfId="4199"/>
    <cellStyle name="Normal 2 2 2 2 27 2 2 2 11" xfId="4200"/>
    <cellStyle name="Normal 2 2 2 2 27 2 2 2 2" xfId="4201"/>
    <cellStyle name="Normal 2 2 2 2 27 2 2 2 2 10" xfId="4202"/>
    <cellStyle name="Normal 2 2 2 2 27 2 2 2 2 11" xfId="4203"/>
    <cellStyle name="Normal 2 2 2 2 27 2 2 2 2 2" xfId="4204"/>
    <cellStyle name="Normal 2 2 2 2 27 2 2 2 2 2 2" xfId="4205"/>
    <cellStyle name="Normal 2 2 2 2 27 2 2 2 2 3" xfId="4206"/>
    <cellStyle name="Normal 2 2 2 2 27 2 2 2 2 4" xfId="4207"/>
    <cellStyle name="Normal 2 2 2 2 27 2 2 2 2 5" xfId="4208"/>
    <cellStyle name="Normal 2 2 2 2 27 2 2 2 2 6" xfId="4209"/>
    <cellStyle name="Normal 2 2 2 2 27 2 2 2 2 7" xfId="4210"/>
    <cellStyle name="Normal 2 2 2 2 27 2 2 2 2 8" xfId="4211"/>
    <cellStyle name="Normal 2 2 2 2 27 2 2 2 2 9" xfId="4212"/>
    <cellStyle name="Normal 2 2 2 2 27 2 2 2 3" xfId="4213"/>
    <cellStyle name="Normal 2 2 2 2 27 2 2 2 3 2" xfId="4214"/>
    <cellStyle name="Normal 2 2 2 2 27 2 2 2 4" xfId="4215"/>
    <cellStyle name="Normal 2 2 2 2 27 2 2 2 5" xfId="4216"/>
    <cellStyle name="Normal 2 2 2 2 27 2 2 2 6" xfId="4217"/>
    <cellStyle name="Normal 2 2 2 2 27 2 2 2 7" xfId="4218"/>
    <cellStyle name="Normal 2 2 2 2 27 2 2 2 8" xfId="4219"/>
    <cellStyle name="Normal 2 2 2 2 27 2 2 2 9" xfId="4220"/>
    <cellStyle name="Normal 2 2 2 2 27 2 2 3" xfId="4221"/>
    <cellStyle name="Normal 2 2 2 2 27 2 2 3 2" xfId="4222"/>
    <cellStyle name="Normal 2 2 2 2 27 2 2 4" xfId="4223"/>
    <cellStyle name="Normal 2 2 2 2 27 2 2 5" xfId="4224"/>
    <cellStyle name="Normal 2 2 2 2 27 2 2 6" xfId="4225"/>
    <cellStyle name="Normal 2 2 2 2 27 2 2 7" xfId="4226"/>
    <cellStyle name="Normal 2 2 2 2 27 2 2 8" xfId="4227"/>
    <cellStyle name="Normal 2 2 2 2 27 2 2 9" xfId="4228"/>
    <cellStyle name="Normal 2 2 2 2 27 2 3" xfId="4229"/>
    <cellStyle name="Normal 2 2 2 2 27 2 3 10" xfId="4230"/>
    <cellStyle name="Normal 2 2 2 2 27 2 3 11" xfId="4231"/>
    <cellStyle name="Normal 2 2 2 2 27 2 3 2" xfId="4232"/>
    <cellStyle name="Normal 2 2 2 2 27 2 3 2 2" xfId="4233"/>
    <cellStyle name="Normal 2 2 2 2 27 2 3 3" xfId="4234"/>
    <cellStyle name="Normal 2 2 2 2 27 2 3 4" xfId="4235"/>
    <cellStyle name="Normal 2 2 2 2 27 2 3 5" xfId="4236"/>
    <cellStyle name="Normal 2 2 2 2 27 2 3 6" xfId="4237"/>
    <cellStyle name="Normal 2 2 2 2 27 2 3 7" xfId="4238"/>
    <cellStyle name="Normal 2 2 2 2 27 2 3 8" xfId="4239"/>
    <cellStyle name="Normal 2 2 2 2 27 2 3 9" xfId="4240"/>
    <cellStyle name="Normal 2 2 2 2 27 2 4" xfId="4241"/>
    <cellStyle name="Normal 2 2 2 2 27 2 4 2" xfId="4242"/>
    <cellStyle name="Normal 2 2 2 2 27 2 5" xfId="4243"/>
    <cellStyle name="Normal 2 2 2 2 27 2 6" xfId="4244"/>
    <cellStyle name="Normal 2 2 2 2 27 2 7" xfId="4245"/>
    <cellStyle name="Normal 2 2 2 2 27 2 8" xfId="4246"/>
    <cellStyle name="Normal 2 2 2 2 27 2 9" xfId="4247"/>
    <cellStyle name="Normal 2 2 2 2 27 3" xfId="4248"/>
    <cellStyle name="Normal 2 2 2 2 27 3 10" xfId="4249"/>
    <cellStyle name="Normal 2 2 2 2 27 3 11" xfId="4250"/>
    <cellStyle name="Normal 2 2 2 2 27 3 2" xfId="4251"/>
    <cellStyle name="Normal 2 2 2 2 27 3 2 10" xfId="4252"/>
    <cellStyle name="Normal 2 2 2 2 27 3 2 11" xfId="4253"/>
    <cellStyle name="Normal 2 2 2 2 27 3 2 2" xfId="4254"/>
    <cellStyle name="Normal 2 2 2 2 27 3 2 2 2" xfId="4255"/>
    <cellStyle name="Normal 2 2 2 2 27 3 2 3" xfId="4256"/>
    <cellStyle name="Normal 2 2 2 2 27 3 2 4" xfId="4257"/>
    <cellStyle name="Normal 2 2 2 2 27 3 2 5" xfId="4258"/>
    <cellStyle name="Normal 2 2 2 2 27 3 2 6" xfId="4259"/>
    <cellStyle name="Normal 2 2 2 2 27 3 2 7" xfId="4260"/>
    <cellStyle name="Normal 2 2 2 2 27 3 2 8" xfId="4261"/>
    <cellStyle name="Normal 2 2 2 2 27 3 2 9" xfId="4262"/>
    <cellStyle name="Normal 2 2 2 2 27 3 3" xfId="4263"/>
    <cellStyle name="Normal 2 2 2 2 27 3 3 2" xfId="4264"/>
    <cellStyle name="Normal 2 2 2 2 27 3 4" xfId="4265"/>
    <cellStyle name="Normal 2 2 2 2 27 3 5" xfId="4266"/>
    <cellStyle name="Normal 2 2 2 2 27 3 6" xfId="4267"/>
    <cellStyle name="Normal 2 2 2 2 27 3 7" xfId="4268"/>
    <cellStyle name="Normal 2 2 2 2 27 3 8" xfId="4269"/>
    <cellStyle name="Normal 2 2 2 2 27 3 9" xfId="4270"/>
    <cellStyle name="Normal 2 2 2 2 27 4" xfId="4271"/>
    <cellStyle name="Normal 2 2 2 2 27 4 2" xfId="4272"/>
    <cellStyle name="Normal 2 2 2 2 27 5" xfId="4273"/>
    <cellStyle name="Normal 2 2 2 2 27 6" xfId="4274"/>
    <cellStyle name="Normal 2 2 2 2 27 7" xfId="4275"/>
    <cellStyle name="Normal 2 2 2 2 27 8" xfId="4276"/>
    <cellStyle name="Normal 2 2 2 2 27 9" xfId="4277"/>
    <cellStyle name="Normal 2 2 2 2 28" xfId="4278"/>
    <cellStyle name="Normal 2 2 2 2 28 10" xfId="4279"/>
    <cellStyle name="Normal 2 2 2 2 28 11" xfId="4280"/>
    <cellStyle name="Normal 2 2 2 2 28 12" xfId="4281"/>
    <cellStyle name="Normal 2 2 2 2 28 2" xfId="4282"/>
    <cellStyle name="Normal 2 2 2 2 28 2 10" xfId="4283"/>
    <cellStyle name="Normal 2 2 2 2 28 2 11" xfId="4284"/>
    <cellStyle name="Normal 2 2 2 2 28 2 2" xfId="4285"/>
    <cellStyle name="Normal 2 2 2 2 28 2 2 10" xfId="4286"/>
    <cellStyle name="Normal 2 2 2 2 28 2 2 11" xfId="4287"/>
    <cellStyle name="Normal 2 2 2 2 28 2 2 2" xfId="4288"/>
    <cellStyle name="Normal 2 2 2 2 28 2 2 2 2" xfId="4289"/>
    <cellStyle name="Normal 2 2 2 2 28 2 2 3" xfId="4290"/>
    <cellStyle name="Normal 2 2 2 2 28 2 2 4" xfId="4291"/>
    <cellStyle name="Normal 2 2 2 2 28 2 2 5" xfId="4292"/>
    <cellStyle name="Normal 2 2 2 2 28 2 2 6" xfId="4293"/>
    <cellStyle name="Normal 2 2 2 2 28 2 2 7" xfId="4294"/>
    <cellStyle name="Normal 2 2 2 2 28 2 2 8" xfId="4295"/>
    <cellStyle name="Normal 2 2 2 2 28 2 2 9" xfId="4296"/>
    <cellStyle name="Normal 2 2 2 2 28 2 3" xfId="4297"/>
    <cellStyle name="Normal 2 2 2 2 28 2 3 2" xfId="4298"/>
    <cellStyle name="Normal 2 2 2 2 28 2 4" xfId="4299"/>
    <cellStyle name="Normal 2 2 2 2 28 2 5" xfId="4300"/>
    <cellStyle name="Normal 2 2 2 2 28 2 6" xfId="4301"/>
    <cellStyle name="Normal 2 2 2 2 28 2 7" xfId="4302"/>
    <cellStyle name="Normal 2 2 2 2 28 2 8" xfId="4303"/>
    <cellStyle name="Normal 2 2 2 2 28 2 9" xfId="4304"/>
    <cellStyle name="Normal 2 2 2 2 28 3" xfId="4305"/>
    <cellStyle name="Normal 2 2 2 2 28 3 2" xfId="4306"/>
    <cellStyle name="Normal 2 2 2 2 28 4" xfId="4307"/>
    <cellStyle name="Normal 2 2 2 2 28 5" xfId="4308"/>
    <cellStyle name="Normal 2 2 2 2 28 6" xfId="4309"/>
    <cellStyle name="Normal 2 2 2 2 28 7" xfId="4310"/>
    <cellStyle name="Normal 2 2 2 2 28 8" xfId="4311"/>
    <cellStyle name="Normal 2 2 2 2 28 9" xfId="4312"/>
    <cellStyle name="Normal 2 2 2 2 29" xfId="4313"/>
    <cellStyle name="Normal 2 2 2 2 29 10" xfId="4314"/>
    <cellStyle name="Normal 2 2 2 2 29 11" xfId="4315"/>
    <cellStyle name="Normal 2 2 2 2 29 2" xfId="4316"/>
    <cellStyle name="Normal 2 2 2 2 29 2 2" xfId="4317"/>
    <cellStyle name="Normal 2 2 2 2 29 3" xfId="4318"/>
    <cellStyle name="Normal 2 2 2 2 29 4" xfId="4319"/>
    <cellStyle name="Normal 2 2 2 2 29 5" xfId="4320"/>
    <cellStyle name="Normal 2 2 2 2 29 6" xfId="4321"/>
    <cellStyle name="Normal 2 2 2 2 29 7" xfId="4322"/>
    <cellStyle name="Normal 2 2 2 2 29 8" xfId="4323"/>
    <cellStyle name="Normal 2 2 2 2 29 9" xfId="4324"/>
    <cellStyle name="Normal 2 2 2 2 3" xfId="4325"/>
    <cellStyle name="Normal 2 2 2 2 30" xfId="4326"/>
    <cellStyle name="Normal 2 2 2 2 30 2" xfId="4327"/>
    <cellStyle name="Normal 2 2 2 2 31" xfId="4328"/>
    <cellStyle name="Normal 2 2 2 2 32" xfId="4329"/>
    <cellStyle name="Normal 2 2 2 2 33" xfId="4330"/>
    <cellStyle name="Normal 2 2 2 2 34" xfId="4331"/>
    <cellStyle name="Normal 2 2 2 2 35" xfId="4332"/>
    <cellStyle name="Normal 2 2 2 2 36" xfId="4333"/>
    <cellStyle name="Normal 2 2 2 2 37" xfId="4334"/>
    <cellStyle name="Normal 2 2 2 2 38" xfId="4335"/>
    <cellStyle name="Normal 2 2 2 2 39" xfId="4336"/>
    <cellStyle name="Normal 2 2 2 2 39 2" xfId="4337"/>
    <cellStyle name="Normal 2 2 2 2 4" xfId="4338"/>
    <cellStyle name="Normal 2 2 2 2 40" xfId="4339"/>
    <cellStyle name="Normal 2 2 2 2 41" xfId="4340"/>
    <cellStyle name="Normal 2 2 2 2 42" xfId="4341"/>
    <cellStyle name="Normal 2 2 2 2 43" xfId="4342"/>
    <cellStyle name="Normal 2 2 2 2 43 2" xfId="4343"/>
    <cellStyle name="Normal 2 2 2 2 44" xfId="4344"/>
    <cellStyle name="Normal 2 2 2 2 45" xfId="4345"/>
    <cellStyle name="Normal 2 2 2 2 46" xfId="4346"/>
    <cellStyle name="Normal 2 2 2 2 5" xfId="4347"/>
    <cellStyle name="Normal 2 2 2 2 6" xfId="4348"/>
    <cellStyle name="Normal 2 2 2 2 6 2" xfId="4349"/>
    <cellStyle name="Normal 2 2 2 2 6 2 2" xfId="4350"/>
    <cellStyle name="Normal 2 2 2 2 7" xfId="4351"/>
    <cellStyle name="Normal 2 2 2 2 7 2" xfId="4352"/>
    <cellStyle name="Normal 2 2 2 2 8" xfId="4353"/>
    <cellStyle name="Normal 2 2 2 2 9" xfId="4354"/>
    <cellStyle name="Normal 2 2 2 20" xfId="4355"/>
    <cellStyle name="Normal 2 2 2 21" xfId="4356"/>
    <cellStyle name="Normal 2 2 2 22" xfId="4357"/>
    <cellStyle name="Normal 2 2 2 23" xfId="4358"/>
    <cellStyle name="Normal 2 2 2 24" xfId="4359"/>
    <cellStyle name="Normal 2 2 2 25" xfId="4360"/>
    <cellStyle name="Normal 2 2 2 25 10" xfId="4361"/>
    <cellStyle name="Normal 2 2 2 25 11" xfId="4362"/>
    <cellStyle name="Normal 2 2 2 25 12" xfId="4363"/>
    <cellStyle name="Normal 2 2 2 25 13" xfId="4364"/>
    <cellStyle name="Normal 2 2 2 25 14" xfId="4365"/>
    <cellStyle name="Normal 2 2 2 25 15" xfId="4366"/>
    <cellStyle name="Normal 2 2 2 25 2" xfId="4367"/>
    <cellStyle name="Normal 2 2 2 25 2 10" xfId="4368"/>
    <cellStyle name="Normal 2 2 2 25 2 11" xfId="4369"/>
    <cellStyle name="Normal 2 2 2 25 2 12" xfId="4370"/>
    <cellStyle name="Normal 2 2 2 25 2 13" xfId="4371"/>
    <cellStyle name="Normal 2 2 2 25 2 14" xfId="4372"/>
    <cellStyle name="Normal 2 2 2 25 2 2" xfId="4373"/>
    <cellStyle name="Normal 2 2 2 25 2 2 10" xfId="4374"/>
    <cellStyle name="Normal 2 2 2 25 2 2 11" xfId="4375"/>
    <cellStyle name="Normal 2 2 2 25 2 2 12" xfId="4376"/>
    <cellStyle name="Normal 2 2 2 25 2 2 13" xfId="4377"/>
    <cellStyle name="Normal 2 2 2 25 2 2 14" xfId="4378"/>
    <cellStyle name="Normal 2 2 2 25 2 2 2" xfId="4379"/>
    <cellStyle name="Normal 2 2 2 25 2 2 2 10" xfId="4380"/>
    <cellStyle name="Normal 2 2 2 25 2 2 2 11" xfId="4381"/>
    <cellStyle name="Normal 2 2 2 25 2 2 2 12" xfId="4382"/>
    <cellStyle name="Normal 2 2 2 25 2 2 2 13" xfId="4383"/>
    <cellStyle name="Normal 2 2 2 25 2 2 2 2" xfId="4384"/>
    <cellStyle name="Normal 2 2 2 25 2 2 2 2 10" xfId="4385"/>
    <cellStyle name="Normal 2 2 2 25 2 2 2 2 11" xfId="4386"/>
    <cellStyle name="Normal 2 2 2 25 2 2 2 2 12" xfId="4387"/>
    <cellStyle name="Normal 2 2 2 25 2 2 2 2 13" xfId="4388"/>
    <cellStyle name="Normal 2 2 2 25 2 2 2 2 2" xfId="4389"/>
    <cellStyle name="Normal 2 2 2 25 2 2 2 2 2 10" xfId="4390"/>
    <cellStyle name="Normal 2 2 2 25 2 2 2 2 2 11" xfId="4391"/>
    <cellStyle name="Normal 2 2 2 25 2 2 2 2 2 12" xfId="4392"/>
    <cellStyle name="Normal 2 2 2 25 2 2 2 2 2 2" xfId="4393"/>
    <cellStyle name="Normal 2 2 2 25 2 2 2 2 2 2 10" xfId="4394"/>
    <cellStyle name="Normal 2 2 2 25 2 2 2 2 2 2 11" xfId="4395"/>
    <cellStyle name="Normal 2 2 2 25 2 2 2 2 2 2 12" xfId="4396"/>
    <cellStyle name="Normal 2 2 2 25 2 2 2 2 2 2 2" xfId="4397"/>
    <cellStyle name="Normal 2 2 2 25 2 2 2 2 2 2 2 10" xfId="4398"/>
    <cellStyle name="Normal 2 2 2 25 2 2 2 2 2 2 2 11" xfId="4399"/>
    <cellStyle name="Normal 2 2 2 25 2 2 2 2 2 2 2 2" xfId="4400"/>
    <cellStyle name="Normal 2 2 2 25 2 2 2 2 2 2 2 2 10" xfId="4401"/>
    <cellStyle name="Normal 2 2 2 25 2 2 2 2 2 2 2 2 11" xfId="4402"/>
    <cellStyle name="Normal 2 2 2 25 2 2 2 2 2 2 2 2 2" xfId="4403"/>
    <cellStyle name="Normal 2 2 2 25 2 2 2 2 2 2 2 2 2 2" xfId="4404"/>
    <cellStyle name="Normal 2 2 2 25 2 2 2 2 2 2 2 2 3" xfId="4405"/>
    <cellStyle name="Normal 2 2 2 25 2 2 2 2 2 2 2 2 4" xfId="4406"/>
    <cellStyle name="Normal 2 2 2 25 2 2 2 2 2 2 2 2 5" xfId="4407"/>
    <cellStyle name="Normal 2 2 2 25 2 2 2 2 2 2 2 2 6" xfId="4408"/>
    <cellStyle name="Normal 2 2 2 25 2 2 2 2 2 2 2 2 7" xfId="4409"/>
    <cellStyle name="Normal 2 2 2 25 2 2 2 2 2 2 2 2 8" xfId="4410"/>
    <cellStyle name="Normal 2 2 2 25 2 2 2 2 2 2 2 2 9" xfId="4411"/>
    <cellStyle name="Normal 2 2 2 25 2 2 2 2 2 2 2 3" xfId="4412"/>
    <cellStyle name="Normal 2 2 2 25 2 2 2 2 2 2 2 3 2" xfId="4413"/>
    <cellStyle name="Normal 2 2 2 25 2 2 2 2 2 2 2 4" xfId="4414"/>
    <cellStyle name="Normal 2 2 2 25 2 2 2 2 2 2 2 5" xfId="4415"/>
    <cellStyle name="Normal 2 2 2 25 2 2 2 2 2 2 2 6" xfId="4416"/>
    <cellStyle name="Normal 2 2 2 25 2 2 2 2 2 2 2 7" xfId="4417"/>
    <cellStyle name="Normal 2 2 2 25 2 2 2 2 2 2 2 8" xfId="4418"/>
    <cellStyle name="Normal 2 2 2 25 2 2 2 2 2 2 2 9" xfId="4419"/>
    <cellStyle name="Normal 2 2 2 25 2 2 2 2 2 2 3" xfId="4420"/>
    <cellStyle name="Normal 2 2 2 25 2 2 2 2 2 2 3 2" xfId="4421"/>
    <cellStyle name="Normal 2 2 2 25 2 2 2 2 2 2 4" xfId="4422"/>
    <cellStyle name="Normal 2 2 2 25 2 2 2 2 2 2 5" xfId="4423"/>
    <cellStyle name="Normal 2 2 2 25 2 2 2 2 2 2 6" xfId="4424"/>
    <cellStyle name="Normal 2 2 2 25 2 2 2 2 2 2 7" xfId="4425"/>
    <cellStyle name="Normal 2 2 2 25 2 2 2 2 2 2 8" xfId="4426"/>
    <cellStyle name="Normal 2 2 2 25 2 2 2 2 2 2 9" xfId="4427"/>
    <cellStyle name="Normal 2 2 2 25 2 2 2 2 2 3" xfId="4428"/>
    <cellStyle name="Normal 2 2 2 25 2 2 2 2 2 3 10" xfId="4429"/>
    <cellStyle name="Normal 2 2 2 25 2 2 2 2 2 3 11" xfId="4430"/>
    <cellStyle name="Normal 2 2 2 25 2 2 2 2 2 3 2" xfId="4431"/>
    <cellStyle name="Normal 2 2 2 25 2 2 2 2 2 3 2 2" xfId="4432"/>
    <cellStyle name="Normal 2 2 2 25 2 2 2 2 2 3 3" xfId="4433"/>
    <cellStyle name="Normal 2 2 2 25 2 2 2 2 2 3 4" xfId="4434"/>
    <cellStyle name="Normal 2 2 2 25 2 2 2 2 2 3 5" xfId="4435"/>
    <cellStyle name="Normal 2 2 2 25 2 2 2 2 2 3 6" xfId="4436"/>
    <cellStyle name="Normal 2 2 2 25 2 2 2 2 2 3 7" xfId="4437"/>
    <cellStyle name="Normal 2 2 2 25 2 2 2 2 2 3 8" xfId="4438"/>
    <cellStyle name="Normal 2 2 2 25 2 2 2 2 2 3 9" xfId="4439"/>
    <cellStyle name="Normal 2 2 2 25 2 2 2 2 2 4" xfId="4440"/>
    <cellStyle name="Normal 2 2 2 25 2 2 2 2 2 4 2" xfId="4441"/>
    <cellStyle name="Normal 2 2 2 25 2 2 2 2 2 5" xfId="4442"/>
    <cellStyle name="Normal 2 2 2 25 2 2 2 2 2 6" xfId="4443"/>
    <cellStyle name="Normal 2 2 2 25 2 2 2 2 2 7" xfId="4444"/>
    <cellStyle name="Normal 2 2 2 25 2 2 2 2 2 8" xfId="4445"/>
    <cellStyle name="Normal 2 2 2 25 2 2 2 2 2 9" xfId="4446"/>
    <cellStyle name="Normal 2 2 2 25 2 2 2 2 3" xfId="4447"/>
    <cellStyle name="Normal 2 2 2 25 2 2 2 2 3 10" xfId="4448"/>
    <cellStyle name="Normal 2 2 2 25 2 2 2 2 3 11" xfId="4449"/>
    <cellStyle name="Normal 2 2 2 25 2 2 2 2 3 2" xfId="4450"/>
    <cellStyle name="Normal 2 2 2 25 2 2 2 2 3 2 10" xfId="4451"/>
    <cellStyle name="Normal 2 2 2 25 2 2 2 2 3 2 11" xfId="4452"/>
    <cellStyle name="Normal 2 2 2 25 2 2 2 2 3 2 2" xfId="4453"/>
    <cellStyle name="Normal 2 2 2 25 2 2 2 2 3 2 2 2" xfId="4454"/>
    <cellStyle name="Normal 2 2 2 25 2 2 2 2 3 2 3" xfId="4455"/>
    <cellStyle name="Normal 2 2 2 25 2 2 2 2 3 2 4" xfId="4456"/>
    <cellStyle name="Normal 2 2 2 25 2 2 2 2 3 2 5" xfId="4457"/>
    <cellStyle name="Normal 2 2 2 25 2 2 2 2 3 2 6" xfId="4458"/>
    <cellStyle name="Normal 2 2 2 25 2 2 2 2 3 2 7" xfId="4459"/>
    <cellStyle name="Normal 2 2 2 25 2 2 2 2 3 2 8" xfId="4460"/>
    <cellStyle name="Normal 2 2 2 25 2 2 2 2 3 2 9" xfId="4461"/>
    <cellStyle name="Normal 2 2 2 25 2 2 2 2 3 3" xfId="4462"/>
    <cellStyle name="Normal 2 2 2 25 2 2 2 2 3 3 2" xfId="4463"/>
    <cellStyle name="Normal 2 2 2 25 2 2 2 2 3 4" xfId="4464"/>
    <cellStyle name="Normal 2 2 2 25 2 2 2 2 3 5" xfId="4465"/>
    <cellStyle name="Normal 2 2 2 25 2 2 2 2 3 6" xfId="4466"/>
    <cellStyle name="Normal 2 2 2 25 2 2 2 2 3 7" xfId="4467"/>
    <cellStyle name="Normal 2 2 2 25 2 2 2 2 3 8" xfId="4468"/>
    <cellStyle name="Normal 2 2 2 25 2 2 2 2 3 9" xfId="4469"/>
    <cellStyle name="Normal 2 2 2 25 2 2 2 2 4" xfId="4470"/>
    <cellStyle name="Normal 2 2 2 25 2 2 2 2 4 2" xfId="4471"/>
    <cellStyle name="Normal 2 2 2 25 2 2 2 2 5" xfId="4472"/>
    <cellStyle name="Normal 2 2 2 25 2 2 2 2 6" xfId="4473"/>
    <cellStyle name="Normal 2 2 2 25 2 2 2 2 7" xfId="4474"/>
    <cellStyle name="Normal 2 2 2 25 2 2 2 2 8" xfId="4475"/>
    <cellStyle name="Normal 2 2 2 25 2 2 2 2 9" xfId="4476"/>
    <cellStyle name="Normal 2 2 2 25 2 2 2 3" xfId="4477"/>
    <cellStyle name="Normal 2 2 2 25 2 2 2 3 10" xfId="4478"/>
    <cellStyle name="Normal 2 2 2 25 2 2 2 3 11" xfId="4479"/>
    <cellStyle name="Normal 2 2 2 25 2 2 2 3 12" xfId="4480"/>
    <cellStyle name="Normal 2 2 2 25 2 2 2 3 2" xfId="4481"/>
    <cellStyle name="Normal 2 2 2 25 2 2 2 3 2 10" xfId="4482"/>
    <cellStyle name="Normal 2 2 2 25 2 2 2 3 2 11" xfId="4483"/>
    <cellStyle name="Normal 2 2 2 25 2 2 2 3 2 2" xfId="4484"/>
    <cellStyle name="Normal 2 2 2 25 2 2 2 3 2 2 10" xfId="4485"/>
    <cellStyle name="Normal 2 2 2 25 2 2 2 3 2 2 11" xfId="4486"/>
    <cellStyle name="Normal 2 2 2 25 2 2 2 3 2 2 2" xfId="4487"/>
    <cellStyle name="Normal 2 2 2 25 2 2 2 3 2 2 2 2" xfId="4488"/>
    <cellStyle name="Normal 2 2 2 25 2 2 2 3 2 2 3" xfId="4489"/>
    <cellStyle name="Normal 2 2 2 25 2 2 2 3 2 2 4" xfId="4490"/>
    <cellStyle name="Normal 2 2 2 25 2 2 2 3 2 2 5" xfId="4491"/>
    <cellStyle name="Normal 2 2 2 25 2 2 2 3 2 2 6" xfId="4492"/>
    <cellStyle name="Normal 2 2 2 25 2 2 2 3 2 2 7" xfId="4493"/>
    <cellStyle name="Normal 2 2 2 25 2 2 2 3 2 2 8" xfId="4494"/>
    <cellStyle name="Normal 2 2 2 25 2 2 2 3 2 2 9" xfId="4495"/>
    <cellStyle name="Normal 2 2 2 25 2 2 2 3 2 3" xfId="4496"/>
    <cellStyle name="Normal 2 2 2 25 2 2 2 3 2 3 2" xfId="4497"/>
    <cellStyle name="Normal 2 2 2 25 2 2 2 3 2 4" xfId="4498"/>
    <cellStyle name="Normal 2 2 2 25 2 2 2 3 2 5" xfId="4499"/>
    <cellStyle name="Normal 2 2 2 25 2 2 2 3 2 6" xfId="4500"/>
    <cellStyle name="Normal 2 2 2 25 2 2 2 3 2 7" xfId="4501"/>
    <cellStyle name="Normal 2 2 2 25 2 2 2 3 2 8" xfId="4502"/>
    <cellStyle name="Normal 2 2 2 25 2 2 2 3 2 9" xfId="4503"/>
    <cellStyle name="Normal 2 2 2 25 2 2 2 3 3" xfId="4504"/>
    <cellStyle name="Normal 2 2 2 25 2 2 2 3 3 2" xfId="4505"/>
    <cellStyle name="Normal 2 2 2 25 2 2 2 3 4" xfId="4506"/>
    <cellStyle name="Normal 2 2 2 25 2 2 2 3 5" xfId="4507"/>
    <cellStyle name="Normal 2 2 2 25 2 2 2 3 6" xfId="4508"/>
    <cellStyle name="Normal 2 2 2 25 2 2 2 3 7" xfId="4509"/>
    <cellStyle name="Normal 2 2 2 25 2 2 2 3 8" xfId="4510"/>
    <cellStyle name="Normal 2 2 2 25 2 2 2 3 9" xfId="4511"/>
    <cellStyle name="Normal 2 2 2 25 2 2 2 4" xfId="4512"/>
    <cellStyle name="Normal 2 2 2 25 2 2 2 4 10" xfId="4513"/>
    <cellStyle name="Normal 2 2 2 25 2 2 2 4 11" xfId="4514"/>
    <cellStyle name="Normal 2 2 2 25 2 2 2 4 2" xfId="4515"/>
    <cellStyle name="Normal 2 2 2 25 2 2 2 4 2 2" xfId="4516"/>
    <cellStyle name="Normal 2 2 2 25 2 2 2 4 3" xfId="4517"/>
    <cellStyle name="Normal 2 2 2 25 2 2 2 4 4" xfId="4518"/>
    <cellStyle name="Normal 2 2 2 25 2 2 2 4 5" xfId="4519"/>
    <cellStyle name="Normal 2 2 2 25 2 2 2 4 6" xfId="4520"/>
    <cellStyle name="Normal 2 2 2 25 2 2 2 4 7" xfId="4521"/>
    <cellStyle name="Normal 2 2 2 25 2 2 2 4 8" xfId="4522"/>
    <cellStyle name="Normal 2 2 2 25 2 2 2 4 9" xfId="4523"/>
    <cellStyle name="Normal 2 2 2 25 2 2 2 5" xfId="4524"/>
    <cellStyle name="Normal 2 2 2 25 2 2 2 5 2" xfId="4525"/>
    <cellStyle name="Normal 2 2 2 25 2 2 2 6" xfId="4526"/>
    <cellStyle name="Normal 2 2 2 25 2 2 2 7" xfId="4527"/>
    <cellStyle name="Normal 2 2 2 25 2 2 2 8" xfId="4528"/>
    <cellStyle name="Normal 2 2 2 25 2 2 2 9" xfId="4529"/>
    <cellStyle name="Normal 2 2 2 25 2 2 3" xfId="4530"/>
    <cellStyle name="Normal 2 2 2 25 2 2 3 10" xfId="4531"/>
    <cellStyle name="Normal 2 2 2 25 2 2 3 11" xfId="4532"/>
    <cellStyle name="Normal 2 2 2 25 2 2 3 12" xfId="4533"/>
    <cellStyle name="Normal 2 2 2 25 2 2 3 2" xfId="4534"/>
    <cellStyle name="Normal 2 2 2 25 2 2 3 2 10" xfId="4535"/>
    <cellStyle name="Normal 2 2 2 25 2 2 3 2 11" xfId="4536"/>
    <cellStyle name="Normal 2 2 2 25 2 2 3 2 12" xfId="4537"/>
    <cellStyle name="Normal 2 2 2 25 2 2 3 2 2" xfId="4538"/>
    <cellStyle name="Normal 2 2 2 25 2 2 3 2 2 10" xfId="4539"/>
    <cellStyle name="Normal 2 2 2 25 2 2 3 2 2 11" xfId="4540"/>
    <cellStyle name="Normal 2 2 2 25 2 2 3 2 2 2" xfId="4541"/>
    <cellStyle name="Normal 2 2 2 25 2 2 3 2 2 2 10" xfId="4542"/>
    <cellStyle name="Normal 2 2 2 25 2 2 3 2 2 2 11" xfId="4543"/>
    <cellStyle name="Normal 2 2 2 25 2 2 3 2 2 2 2" xfId="4544"/>
    <cellStyle name="Normal 2 2 2 25 2 2 3 2 2 2 2 2" xfId="4545"/>
    <cellStyle name="Normal 2 2 2 25 2 2 3 2 2 2 3" xfId="4546"/>
    <cellStyle name="Normal 2 2 2 25 2 2 3 2 2 2 4" xfId="4547"/>
    <cellStyle name="Normal 2 2 2 25 2 2 3 2 2 2 5" xfId="4548"/>
    <cellStyle name="Normal 2 2 2 25 2 2 3 2 2 2 6" xfId="4549"/>
    <cellStyle name="Normal 2 2 2 25 2 2 3 2 2 2 7" xfId="4550"/>
    <cellStyle name="Normal 2 2 2 25 2 2 3 2 2 2 8" xfId="4551"/>
    <cellStyle name="Normal 2 2 2 25 2 2 3 2 2 2 9" xfId="4552"/>
    <cellStyle name="Normal 2 2 2 25 2 2 3 2 2 3" xfId="4553"/>
    <cellStyle name="Normal 2 2 2 25 2 2 3 2 2 3 2" xfId="4554"/>
    <cellStyle name="Normal 2 2 2 25 2 2 3 2 2 4" xfId="4555"/>
    <cellStyle name="Normal 2 2 2 25 2 2 3 2 2 5" xfId="4556"/>
    <cellStyle name="Normal 2 2 2 25 2 2 3 2 2 6" xfId="4557"/>
    <cellStyle name="Normal 2 2 2 25 2 2 3 2 2 7" xfId="4558"/>
    <cellStyle name="Normal 2 2 2 25 2 2 3 2 2 8" xfId="4559"/>
    <cellStyle name="Normal 2 2 2 25 2 2 3 2 2 9" xfId="4560"/>
    <cellStyle name="Normal 2 2 2 25 2 2 3 2 3" xfId="4561"/>
    <cellStyle name="Normal 2 2 2 25 2 2 3 2 3 2" xfId="4562"/>
    <cellStyle name="Normal 2 2 2 25 2 2 3 2 4" xfId="4563"/>
    <cellStyle name="Normal 2 2 2 25 2 2 3 2 5" xfId="4564"/>
    <cellStyle name="Normal 2 2 2 25 2 2 3 2 6" xfId="4565"/>
    <cellStyle name="Normal 2 2 2 25 2 2 3 2 7" xfId="4566"/>
    <cellStyle name="Normal 2 2 2 25 2 2 3 2 8" xfId="4567"/>
    <cellStyle name="Normal 2 2 2 25 2 2 3 2 9" xfId="4568"/>
    <cellStyle name="Normal 2 2 2 25 2 2 3 3" xfId="4569"/>
    <cellStyle name="Normal 2 2 2 25 2 2 3 3 10" xfId="4570"/>
    <cellStyle name="Normal 2 2 2 25 2 2 3 3 11" xfId="4571"/>
    <cellStyle name="Normal 2 2 2 25 2 2 3 3 2" xfId="4572"/>
    <cellStyle name="Normal 2 2 2 25 2 2 3 3 2 2" xfId="4573"/>
    <cellStyle name="Normal 2 2 2 25 2 2 3 3 3" xfId="4574"/>
    <cellStyle name="Normal 2 2 2 25 2 2 3 3 4" xfId="4575"/>
    <cellStyle name="Normal 2 2 2 25 2 2 3 3 5" xfId="4576"/>
    <cellStyle name="Normal 2 2 2 25 2 2 3 3 6" xfId="4577"/>
    <cellStyle name="Normal 2 2 2 25 2 2 3 3 7" xfId="4578"/>
    <cellStyle name="Normal 2 2 2 25 2 2 3 3 8" xfId="4579"/>
    <cellStyle name="Normal 2 2 2 25 2 2 3 3 9" xfId="4580"/>
    <cellStyle name="Normal 2 2 2 25 2 2 3 4" xfId="4581"/>
    <cellStyle name="Normal 2 2 2 25 2 2 3 4 2" xfId="4582"/>
    <cellStyle name="Normal 2 2 2 25 2 2 3 5" xfId="4583"/>
    <cellStyle name="Normal 2 2 2 25 2 2 3 6" xfId="4584"/>
    <cellStyle name="Normal 2 2 2 25 2 2 3 7" xfId="4585"/>
    <cellStyle name="Normal 2 2 2 25 2 2 3 8" xfId="4586"/>
    <cellStyle name="Normal 2 2 2 25 2 2 3 9" xfId="4587"/>
    <cellStyle name="Normal 2 2 2 25 2 2 4" xfId="4588"/>
    <cellStyle name="Normal 2 2 2 25 2 2 4 10" xfId="4589"/>
    <cellStyle name="Normal 2 2 2 25 2 2 4 11" xfId="4590"/>
    <cellStyle name="Normal 2 2 2 25 2 2 4 2" xfId="4591"/>
    <cellStyle name="Normal 2 2 2 25 2 2 4 2 10" xfId="4592"/>
    <cellStyle name="Normal 2 2 2 25 2 2 4 2 11" xfId="4593"/>
    <cellStyle name="Normal 2 2 2 25 2 2 4 2 2" xfId="4594"/>
    <cellStyle name="Normal 2 2 2 25 2 2 4 2 2 2" xfId="4595"/>
    <cellStyle name="Normal 2 2 2 25 2 2 4 2 3" xfId="4596"/>
    <cellStyle name="Normal 2 2 2 25 2 2 4 2 4" xfId="4597"/>
    <cellStyle name="Normal 2 2 2 25 2 2 4 2 5" xfId="4598"/>
    <cellStyle name="Normal 2 2 2 25 2 2 4 2 6" xfId="4599"/>
    <cellStyle name="Normal 2 2 2 25 2 2 4 2 7" xfId="4600"/>
    <cellStyle name="Normal 2 2 2 25 2 2 4 2 8" xfId="4601"/>
    <cellStyle name="Normal 2 2 2 25 2 2 4 2 9" xfId="4602"/>
    <cellStyle name="Normal 2 2 2 25 2 2 4 3" xfId="4603"/>
    <cellStyle name="Normal 2 2 2 25 2 2 4 3 2" xfId="4604"/>
    <cellStyle name="Normal 2 2 2 25 2 2 4 4" xfId="4605"/>
    <cellStyle name="Normal 2 2 2 25 2 2 4 5" xfId="4606"/>
    <cellStyle name="Normal 2 2 2 25 2 2 4 6" xfId="4607"/>
    <cellStyle name="Normal 2 2 2 25 2 2 4 7" xfId="4608"/>
    <cellStyle name="Normal 2 2 2 25 2 2 4 8" xfId="4609"/>
    <cellStyle name="Normal 2 2 2 25 2 2 4 9" xfId="4610"/>
    <cellStyle name="Normal 2 2 2 25 2 2 5" xfId="4611"/>
    <cellStyle name="Normal 2 2 2 25 2 2 5 2" xfId="4612"/>
    <cellStyle name="Normal 2 2 2 25 2 2 6" xfId="4613"/>
    <cellStyle name="Normal 2 2 2 25 2 2 7" xfId="4614"/>
    <cellStyle name="Normal 2 2 2 25 2 2 8" xfId="4615"/>
    <cellStyle name="Normal 2 2 2 25 2 2 9" xfId="4616"/>
    <cellStyle name="Normal 2 2 2 25 2 3" xfId="4617"/>
    <cellStyle name="Normal 2 2 2 25 2 3 10" xfId="4618"/>
    <cellStyle name="Normal 2 2 2 25 2 3 11" xfId="4619"/>
    <cellStyle name="Normal 2 2 2 25 2 3 12" xfId="4620"/>
    <cellStyle name="Normal 2 2 2 25 2 3 13" xfId="4621"/>
    <cellStyle name="Normal 2 2 2 25 2 3 2" xfId="4622"/>
    <cellStyle name="Normal 2 2 2 25 2 3 2 10" xfId="4623"/>
    <cellStyle name="Normal 2 2 2 25 2 3 2 11" xfId="4624"/>
    <cellStyle name="Normal 2 2 2 25 2 3 2 12" xfId="4625"/>
    <cellStyle name="Normal 2 2 2 25 2 3 2 2" xfId="4626"/>
    <cellStyle name="Normal 2 2 2 25 2 3 2 2 10" xfId="4627"/>
    <cellStyle name="Normal 2 2 2 25 2 3 2 2 11" xfId="4628"/>
    <cellStyle name="Normal 2 2 2 25 2 3 2 2 12" xfId="4629"/>
    <cellStyle name="Normal 2 2 2 25 2 3 2 2 2" xfId="4630"/>
    <cellStyle name="Normal 2 2 2 25 2 3 2 2 2 10" xfId="4631"/>
    <cellStyle name="Normal 2 2 2 25 2 3 2 2 2 11" xfId="4632"/>
    <cellStyle name="Normal 2 2 2 25 2 3 2 2 2 2" xfId="4633"/>
    <cellStyle name="Normal 2 2 2 25 2 3 2 2 2 2 10" xfId="4634"/>
    <cellStyle name="Normal 2 2 2 25 2 3 2 2 2 2 11" xfId="4635"/>
    <cellStyle name="Normal 2 2 2 25 2 3 2 2 2 2 2" xfId="4636"/>
    <cellStyle name="Normal 2 2 2 25 2 3 2 2 2 2 2 2" xfId="4637"/>
    <cellStyle name="Normal 2 2 2 25 2 3 2 2 2 2 3" xfId="4638"/>
    <cellStyle name="Normal 2 2 2 25 2 3 2 2 2 2 4" xfId="4639"/>
    <cellStyle name="Normal 2 2 2 25 2 3 2 2 2 2 5" xfId="4640"/>
    <cellStyle name="Normal 2 2 2 25 2 3 2 2 2 2 6" xfId="4641"/>
    <cellStyle name="Normal 2 2 2 25 2 3 2 2 2 2 7" xfId="4642"/>
    <cellStyle name="Normal 2 2 2 25 2 3 2 2 2 2 8" xfId="4643"/>
    <cellStyle name="Normal 2 2 2 25 2 3 2 2 2 2 9" xfId="4644"/>
    <cellStyle name="Normal 2 2 2 25 2 3 2 2 2 3" xfId="4645"/>
    <cellStyle name="Normal 2 2 2 25 2 3 2 2 2 3 2" xfId="4646"/>
    <cellStyle name="Normal 2 2 2 25 2 3 2 2 2 4" xfId="4647"/>
    <cellStyle name="Normal 2 2 2 25 2 3 2 2 2 5" xfId="4648"/>
    <cellStyle name="Normal 2 2 2 25 2 3 2 2 2 6" xfId="4649"/>
    <cellStyle name="Normal 2 2 2 25 2 3 2 2 2 7" xfId="4650"/>
    <cellStyle name="Normal 2 2 2 25 2 3 2 2 2 8" xfId="4651"/>
    <cellStyle name="Normal 2 2 2 25 2 3 2 2 2 9" xfId="4652"/>
    <cellStyle name="Normal 2 2 2 25 2 3 2 2 3" xfId="4653"/>
    <cellStyle name="Normal 2 2 2 25 2 3 2 2 3 2" xfId="4654"/>
    <cellStyle name="Normal 2 2 2 25 2 3 2 2 4" xfId="4655"/>
    <cellStyle name="Normal 2 2 2 25 2 3 2 2 5" xfId="4656"/>
    <cellStyle name="Normal 2 2 2 25 2 3 2 2 6" xfId="4657"/>
    <cellStyle name="Normal 2 2 2 25 2 3 2 2 7" xfId="4658"/>
    <cellStyle name="Normal 2 2 2 25 2 3 2 2 8" xfId="4659"/>
    <cellStyle name="Normal 2 2 2 25 2 3 2 2 9" xfId="4660"/>
    <cellStyle name="Normal 2 2 2 25 2 3 2 3" xfId="4661"/>
    <cellStyle name="Normal 2 2 2 25 2 3 2 3 10" xfId="4662"/>
    <cellStyle name="Normal 2 2 2 25 2 3 2 3 11" xfId="4663"/>
    <cellStyle name="Normal 2 2 2 25 2 3 2 3 2" xfId="4664"/>
    <cellStyle name="Normal 2 2 2 25 2 3 2 3 2 2" xfId="4665"/>
    <cellStyle name="Normal 2 2 2 25 2 3 2 3 3" xfId="4666"/>
    <cellStyle name="Normal 2 2 2 25 2 3 2 3 4" xfId="4667"/>
    <cellStyle name="Normal 2 2 2 25 2 3 2 3 5" xfId="4668"/>
    <cellStyle name="Normal 2 2 2 25 2 3 2 3 6" xfId="4669"/>
    <cellStyle name="Normal 2 2 2 25 2 3 2 3 7" xfId="4670"/>
    <cellStyle name="Normal 2 2 2 25 2 3 2 3 8" xfId="4671"/>
    <cellStyle name="Normal 2 2 2 25 2 3 2 3 9" xfId="4672"/>
    <cellStyle name="Normal 2 2 2 25 2 3 2 4" xfId="4673"/>
    <cellStyle name="Normal 2 2 2 25 2 3 2 4 2" xfId="4674"/>
    <cellStyle name="Normal 2 2 2 25 2 3 2 5" xfId="4675"/>
    <cellStyle name="Normal 2 2 2 25 2 3 2 6" xfId="4676"/>
    <cellStyle name="Normal 2 2 2 25 2 3 2 7" xfId="4677"/>
    <cellStyle name="Normal 2 2 2 25 2 3 2 8" xfId="4678"/>
    <cellStyle name="Normal 2 2 2 25 2 3 2 9" xfId="4679"/>
    <cellStyle name="Normal 2 2 2 25 2 3 3" xfId="4680"/>
    <cellStyle name="Normal 2 2 2 25 2 3 3 10" xfId="4681"/>
    <cellStyle name="Normal 2 2 2 25 2 3 3 11" xfId="4682"/>
    <cellStyle name="Normal 2 2 2 25 2 3 3 2" xfId="4683"/>
    <cellStyle name="Normal 2 2 2 25 2 3 3 2 10" xfId="4684"/>
    <cellStyle name="Normal 2 2 2 25 2 3 3 2 11" xfId="4685"/>
    <cellStyle name="Normal 2 2 2 25 2 3 3 2 2" xfId="4686"/>
    <cellStyle name="Normal 2 2 2 25 2 3 3 2 2 2" xfId="4687"/>
    <cellStyle name="Normal 2 2 2 25 2 3 3 2 3" xfId="4688"/>
    <cellStyle name="Normal 2 2 2 25 2 3 3 2 4" xfId="4689"/>
    <cellStyle name="Normal 2 2 2 25 2 3 3 2 5" xfId="4690"/>
    <cellStyle name="Normal 2 2 2 25 2 3 3 2 6" xfId="4691"/>
    <cellStyle name="Normal 2 2 2 25 2 3 3 2 7" xfId="4692"/>
    <cellStyle name="Normal 2 2 2 25 2 3 3 2 8" xfId="4693"/>
    <cellStyle name="Normal 2 2 2 25 2 3 3 2 9" xfId="4694"/>
    <cellStyle name="Normal 2 2 2 25 2 3 3 3" xfId="4695"/>
    <cellStyle name="Normal 2 2 2 25 2 3 3 3 2" xfId="4696"/>
    <cellStyle name="Normal 2 2 2 25 2 3 3 4" xfId="4697"/>
    <cellStyle name="Normal 2 2 2 25 2 3 3 5" xfId="4698"/>
    <cellStyle name="Normal 2 2 2 25 2 3 3 6" xfId="4699"/>
    <cellStyle name="Normal 2 2 2 25 2 3 3 7" xfId="4700"/>
    <cellStyle name="Normal 2 2 2 25 2 3 3 8" xfId="4701"/>
    <cellStyle name="Normal 2 2 2 25 2 3 3 9" xfId="4702"/>
    <cellStyle name="Normal 2 2 2 25 2 3 4" xfId="4703"/>
    <cellStyle name="Normal 2 2 2 25 2 3 4 2" xfId="4704"/>
    <cellStyle name="Normal 2 2 2 25 2 3 5" xfId="4705"/>
    <cellStyle name="Normal 2 2 2 25 2 3 6" xfId="4706"/>
    <cellStyle name="Normal 2 2 2 25 2 3 7" xfId="4707"/>
    <cellStyle name="Normal 2 2 2 25 2 3 8" xfId="4708"/>
    <cellStyle name="Normal 2 2 2 25 2 3 9" xfId="4709"/>
    <cellStyle name="Normal 2 2 2 25 2 4" xfId="4710"/>
    <cellStyle name="Normal 2 2 2 25 2 4 10" xfId="4711"/>
    <cellStyle name="Normal 2 2 2 25 2 4 11" xfId="4712"/>
    <cellStyle name="Normal 2 2 2 25 2 4 12" xfId="4713"/>
    <cellStyle name="Normal 2 2 2 25 2 4 2" xfId="4714"/>
    <cellStyle name="Normal 2 2 2 25 2 4 2 10" xfId="4715"/>
    <cellStyle name="Normal 2 2 2 25 2 4 2 11" xfId="4716"/>
    <cellStyle name="Normal 2 2 2 25 2 4 2 2" xfId="4717"/>
    <cellStyle name="Normal 2 2 2 25 2 4 2 2 10" xfId="4718"/>
    <cellStyle name="Normal 2 2 2 25 2 4 2 2 11" xfId="4719"/>
    <cellStyle name="Normal 2 2 2 25 2 4 2 2 2" xfId="4720"/>
    <cellStyle name="Normal 2 2 2 25 2 4 2 2 2 2" xfId="4721"/>
    <cellStyle name="Normal 2 2 2 25 2 4 2 2 3" xfId="4722"/>
    <cellStyle name="Normal 2 2 2 25 2 4 2 2 4" xfId="4723"/>
    <cellStyle name="Normal 2 2 2 25 2 4 2 2 5" xfId="4724"/>
    <cellStyle name="Normal 2 2 2 25 2 4 2 2 6" xfId="4725"/>
    <cellStyle name="Normal 2 2 2 25 2 4 2 2 7" xfId="4726"/>
    <cellStyle name="Normal 2 2 2 25 2 4 2 2 8" xfId="4727"/>
    <cellStyle name="Normal 2 2 2 25 2 4 2 2 9" xfId="4728"/>
    <cellStyle name="Normal 2 2 2 25 2 4 2 3" xfId="4729"/>
    <cellStyle name="Normal 2 2 2 25 2 4 2 3 2" xfId="4730"/>
    <cellStyle name="Normal 2 2 2 25 2 4 2 4" xfId="4731"/>
    <cellStyle name="Normal 2 2 2 25 2 4 2 5" xfId="4732"/>
    <cellStyle name="Normal 2 2 2 25 2 4 2 6" xfId="4733"/>
    <cellStyle name="Normal 2 2 2 25 2 4 2 7" xfId="4734"/>
    <cellStyle name="Normal 2 2 2 25 2 4 2 8" xfId="4735"/>
    <cellStyle name="Normal 2 2 2 25 2 4 2 9" xfId="4736"/>
    <cellStyle name="Normal 2 2 2 25 2 4 3" xfId="4737"/>
    <cellStyle name="Normal 2 2 2 25 2 4 3 2" xfId="4738"/>
    <cellStyle name="Normal 2 2 2 25 2 4 4" xfId="4739"/>
    <cellStyle name="Normal 2 2 2 25 2 4 5" xfId="4740"/>
    <cellStyle name="Normal 2 2 2 25 2 4 6" xfId="4741"/>
    <cellStyle name="Normal 2 2 2 25 2 4 7" xfId="4742"/>
    <cellStyle name="Normal 2 2 2 25 2 4 8" xfId="4743"/>
    <cellStyle name="Normal 2 2 2 25 2 4 9" xfId="4744"/>
    <cellStyle name="Normal 2 2 2 25 2 5" xfId="4745"/>
    <cellStyle name="Normal 2 2 2 25 2 5 10" xfId="4746"/>
    <cellStyle name="Normal 2 2 2 25 2 5 11" xfId="4747"/>
    <cellStyle name="Normal 2 2 2 25 2 5 2" xfId="4748"/>
    <cellStyle name="Normal 2 2 2 25 2 5 2 2" xfId="4749"/>
    <cellStyle name="Normal 2 2 2 25 2 5 3" xfId="4750"/>
    <cellStyle name="Normal 2 2 2 25 2 5 4" xfId="4751"/>
    <cellStyle name="Normal 2 2 2 25 2 5 5" xfId="4752"/>
    <cellStyle name="Normal 2 2 2 25 2 5 6" xfId="4753"/>
    <cellStyle name="Normal 2 2 2 25 2 5 7" xfId="4754"/>
    <cellStyle name="Normal 2 2 2 25 2 5 8" xfId="4755"/>
    <cellStyle name="Normal 2 2 2 25 2 5 9" xfId="4756"/>
    <cellStyle name="Normal 2 2 2 25 2 6" xfId="4757"/>
    <cellStyle name="Normal 2 2 2 25 2 6 2" xfId="4758"/>
    <cellStyle name="Normal 2 2 2 25 2 7" xfId="4759"/>
    <cellStyle name="Normal 2 2 2 25 2 8" xfId="4760"/>
    <cellStyle name="Normal 2 2 2 25 2 9" xfId="4761"/>
    <cellStyle name="Normal 2 2 2 25 3" xfId="4762"/>
    <cellStyle name="Normal 2 2 2 25 3 10" xfId="4763"/>
    <cellStyle name="Normal 2 2 2 25 3 11" xfId="4764"/>
    <cellStyle name="Normal 2 2 2 25 3 12" xfId="4765"/>
    <cellStyle name="Normal 2 2 2 25 3 13" xfId="4766"/>
    <cellStyle name="Normal 2 2 2 25 3 2" xfId="4767"/>
    <cellStyle name="Normal 2 2 2 25 3 2 10" xfId="4768"/>
    <cellStyle name="Normal 2 2 2 25 3 2 11" xfId="4769"/>
    <cellStyle name="Normal 2 2 2 25 3 2 12" xfId="4770"/>
    <cellStyle name="Normal 2 2 2 25 3 2 13" xfId="4771"/>
    <cellStyle name="Normal 2 2 2 25 3 2 2" xfId="4772"/>
    <cellStyle name="Normal 2 2 2 25 3 2 2 10" xfId="4773"/>
    <cellStyle name="Normal 2 2 2 25 3 2 2 11" xfId="4774"/>
    <cellStyle name="Normal 2 2 2 25 3 2 2 12" xfId="4775"/>
    <cellStyle name="Normal 2 2 2 25 3 2 2 2" xfId="4776"/>
    <cellStyle name="Normal 2 2 2 25 3 2 2 2 10" xfId="4777"/>
    <cellStyle name="Normal 2 2 2 25 3 2 2 2 11" xfId="4778"/>
    <cellStyle name="Normal 2 2 2 25 3 2 2 2 12" xfId="4779"/>
    <cellStyle name="Normal 2 2 2 25 3 2 2 2 2" xfId="4780"/>
    <cellStyle name="Normal 2 2 2 25 3 2 2 2 2 10" xfId="4781"/>
    <cellStyle name="Normal 2 2 2 25 3 2 2 2 2 11" xfId="4782"/>
    <cellStyle name="Normal 2 2 2 25 3 2 2 2 2 2" xfId="4783"/>
    <cellStyle name="Normal 2 2 2 25 3 2 2 2 2 2 10" xfId="4784"/>
    <cellStyle name="Normal 2 2 2 25 3 2 2 2 2 2 11" xfId="4785"/>
    <cellStyle name="Normal 2 2 2 25 3 2 2 2 2 2 2" xfId="4786"/>
    <cellStyle name="Normal 2 2 2 25 3 2 2 2 2 2 2 2" xfId="4787"/>
    <cellStyle name="Normal 2 2 2 25 3 2 2 2 2 2 3" xfId="4788"/>
    <cellStyle name="Normal 2 2 2 25 3 2 2 2 2 2 4" xfId="4789"/>
    <cellStyle name="Normal 2 2 2 25 3 2 2 2 2 2 5" xfId="4790"/>
    <cellStyle name="Normal 2 2 2 25 3 2 2 2 2 2 6" xfId="4791"/>
    <cellStyle name="Normal 2 2 2 25 3 2 2 2 2 2 7" xfId="4792"/>
    <cellStyle name="Normal 2 2 2 25 3 2 2 2 2 2 8" xfId="4793"/>
    <cellStyle name="Normal 2 2 2 25 3 2 2 2 2 2 9" xfId="4794"/>
    <cellStyle name="Normal 2 2 2 25 3 2 2 2 2 3" xfId="4795"/>
    <cellStyle name="Normal 2 2 2 25 3 2 2 2 2 3 2" xfId="4796"/>
    <cellStyle name="Normal 2 2 2 25 3 2 2 2 2 4" xfId="4797"/>
    <cellStyle name="Normal 2 2 2 25 3 2 2 2 2 5" xfId="4798"/>
    <cellStyle name="Normal 2 2 2 25 3 2 2 2 2 6" xfId="4799"/>
    <cellStyle name="Normal 2 2 2 25 3 2 2 2 2 7" xfId="4800"/>
    <cellStyle name="Normal 2 2 2 25 3 2 2 2 2 8" xfId="4801"/>
    <cellStyle name="Normal 2 2 2 25 3 2 2 2 2 9" xfId="4802"/>
    <cellStyle name="Normal 2 2 2 25 3 2 2 2 3" xfId="4803"/>
    <cellStyle name="Normal 2 2 2 25 3 2 2 2 3 2" xfId="4804"/>
    <cellStyle name="Normal 2 2 2 25 3 2 2 2 4" xfId="4805"/>
    <cellStyle name="Normal 2 2 2 25 3 2 2 2 5" xfId="4806"/>
    <cellStyle name="Normal 2 2 2 25 3 2 2 2 6" xfId="4807"/>
    <cellStyle name="Normal 2 2 2 25 3 2 2 2 7" xfId="4808"/>
    <cellStyle name="Normal 2 2 2 25 3 2 2 2 8" xfId="4809"/>
    <cellStyle name="Normal 2 2 2 25 3 2 2 2 9" xfId="4810"/>
    <cellStyle name="Normal 2 2 2 25 3 2 2 3" xfId="4811"/>
    <cellStyle name="Normal 2 2 2 25 3 2 2 3 10" xfId="4812"/>
    <cellStyle name="Normal 2 2 2 25 3 2 2 3 11" xfId="4813"/>
    <cellStyle name="Normal 2 2 2 25 3 2 2 3 2" xfId="4814"/>
    <cellStyle name="Normal 2 2 2 25 3 2 2 3 2 2" xfId="4815"/>
    <cellStyle name="Normal 2 2 2 25 3 2 2 3 3" xfId="4816"/>
    <cellStyle name="Normal 2 2 2 25 3 2 2 3 4" xfId="4817"/>
    <cellStyle name="Normal 2 2 2 25 3 2 2 3 5" xfId="4818"/>
    <cellStyle name="Normal 2 2 2 25 3 2 2 3 6" xfId="4819"/>
    <cellStyle name="Normal 2 2 2 25 3 2 2 3 7" xfId="4820"/>
    <cellStyle name="Normal 2 2 2 25 3 2 2 3 8" xfId="4821"/>
    <cellStyle name="Normal 2 2 2 25 3 2 2 3 9" xfId="4822"/>
    <cellStyle name="Normal 2 2 2 25 3 2 2 4" xfId="4823"/>
    <cellStyle name="Normal 2 2 2 25 3 2 2 4 2" xfId="4824"/>
    <cellStyle name="Normal 2 2 2 25 3 2 2 5" xfId="4825"/>
    <cellStyle name="Normal 2 2 2 25 3 2 2 6" xfId="4826"/>
    <cellStyle name="Normal 2 2 2 25 3 2 2 7" xfId="4827"/>
    <cellStyle name="Normal 2 2 2 25 3 2 2 8" xfId="4828"/>
    <cellStyle name="Normal 2 2 2 25 3 2 2 9" xfId="4829"/>
    <cellStyle name="Normal 2 2 2 25 3 2 3" xfId="4830"/>
    <cellStyle name="Normal 2 2 2 25 3 2 3 10" xfId="4831"/>
    <cellStyle name="Normal 2 2 2 25 3 2 3 11" xfId="4832"/>
    <cellStyle name="Normal 2 2 2 25 3 2 3 2" xfId="4833"/>
    <cellStyle name="Normal 2 2 2 25 3 2 3 2 10" xfId="4834"/>
    <cellStyle name="Normal 2 2 2 25 3 2 3 2 11" xfId="4835"/>
    <cellStyle name="Normal 2 2 2 25 3 2 3 2 2" xfId="4836"/>
    <cellStyle name="Normal 2 2 2 25 3 2 3 2 2 2" xfId="4837"/>
    <cellStyle name="Normal 2 2 2 25 3 2 3 2 3" xfId="4838"/>
    <cellStyle name="Normal 2 2 2 25 3 2 3 2 4" xfId="4839"/>
    <cellStyle name="Normal 2 2 2 25 3 2 3 2 5" xfId="4840"/>
    <cellStyle name="Normal 2 2 2 25 3 2 3 2 6" xfId="4841"/>
    <cellStyle name="Normal 2 2 2 25 3 2 3 2 7" xfId="4842"/>
    <cellStyle name="Normal 2 2 2 25 3 2 3 2 8" xfId="4843"/>
    <cellStyle name="Normal 2 2 2 25 3 2 3 2 9" xfId="4844"/>
    <cellStyle name="Normal 2 2 2 25 3 2 3 3" xfId="4845"/>
    <cellStyle name="Normal 2 2 2 25 3 2 3 3 2" xfId="4846"/>
    <cellStyle name="Normal 2 2 2 25 3 2 3 4" xfId="4847"/>
    <cellStyle name="Normal 2 2 2 25 3 2 3 5" xfId="4848"/>
    <cellStyle name="Normal 2 2 2 25 3 2 3 6" xfId="4849"/>
    <cellStyle name="Normal 2 2 2 25 3 2 3 7" xfId="4850"/>
    <cellStyle name="Normal 2 2 2 25 3 2 3 8" xfId="4851"/>
    <cellStyle name="Normal 2 2 2 25 3 2 3 9" xfId="4852"/>
    <cellStyle name="Normal 2 2 2 25 3 2 4" xfId="4853"/>
    <cellStyle name="Normal 2 2 2 25 3 2 4 2" xfId="4854"/>
    <cellStyle name="Normal 2 2 2 25 3 2 5" xfId="4855"/>
    <cellStyle name="Normal 2 2 2 25 3 2 6" xfId="4856"/>
    <cellStyle name="Normal 2 2 2 25 3 2 7" xfId="4857"/>
    <cellStyle name="Normal 2 2 2 25 3 2 8" xfId="4858"/>
    <cellStyle name="Normal 2 2 2 25 3 2 9" xfId="4859"/>
    <cellStyle name="Normal 2 2 2 25 3 3" xfId="4860"/>
    <cellStyle name="Normal 2 2 2 25 3 3 10" xfId="4861"/>
    <cellStyle name="Normal 2 2 2 25 3 3 11" xfId="4862"/>
    <cellStyle name="Normal 2 2 2 25 3 3 12" xfId="4863"/>
    <cellStyle name="Normal 2 2 2 25 3 3 2" xfId="4864"/>
    <cellStyle name="Normal 2 2 2 25 3 3 2 10" xfId="4865"/>
    <cellStyle name="Normal 2 2 2 25 3 3 2 11" xfId="4866"/>
    <cellStyle name="Normal 2 2 2 25 3 3 2 2" xfId="4867"/>
    <cellStyle name="Normal 2 2 2 25 3 3 2 2 10" xfId="4868"/>
    <cellStyle name="Normal 2 2 2 25 3 3 2 2 11" xfId="4869"/>
    <cellStyle name="Normal 2 2 2 25 3 3 2 2 2" xfId="4870"/>
    <cellStyle name="Normal 2 2 2 25 3 3 2 2 2 2" xfId="4871"/>
    <cellStyle name="Normal 2 2 2 25 3 3 2 2 3" xfId="4872"/>
    <cellStyle name="Normal 2 2 2 25 3 3 2 2 4" xfId="4873"/>
    <cellStyle name="Normal 2 2 2 25 3 3 2 2 5" xfId="4874"/>
    <cellStyle name="Normal 2 2 2 25 3 3 2 2 6" xfId="4875"/>
    <cellStyle name="Normal 2 2 2 25 3 3 2 2 7" xfId="4876"/>
    <cellStyle name="Normal 2 2 2 25 3 3 2 2 8" xfId="4877"/>
    <cellStyle name="Normal 2 2 2 25 3 3 2 2 9" xfId="4878"/>
    <cellStyle name="Normal 2 2 2 25 3 3 2 3" xfId="4879"/>
    <cellStyle name="Normal 2 2 2 25 3 3 2 3 2" xfId="4880"/>
    <cellStyle name="Normal 2 2 2 25 3 3 2 4" xfId="4881"/>
    <cellStyle name="Normal 2 2 2 25 3 3 2 5" xfId="4882"/>
    <cellStyle name="Normal 2 2 2 25 3 3 2 6" xfId="4883"/>
    <cellStyle name="Normal 2 2 2 25 3 3 2 7" xfId="4884"/>
    <cellStyle name="Normal 2 2 2 25 3 3 2 8" xfId="4885"/>
    <cellStyle name="Normal 2 2 2 25 3 3 2 9" xfId="4886"/>
    <cellStyle name="Normal 2 2 2 25 3 3 3" xfId="4887"/>
    <cellStyle name="Normal 2 2 2 25 3 3 3 2" xfId="4888"/>
    <cellStyle name="Normal 2 2 2 25 3 3 4" xfId="4889"/>
    <cellStyle name="Normal 2 2 2 25 3 3 5" xfId="4890"/>
    <cellStyle name="Normal 2 2 2 25 3 3 6" xfId="4891"/>
    <cellStyle name="Normal 2 2 2 25 3 3 7" xfId="4892"/>
    <cellStyle name="Normal 2 2 2 25 3 3 8" xfId="4893"/>
    <cellStyle name="Normal 2 2 2 25 3 3 9" xfId="4894"/>
    <cellStyle name="Normal 2 2 2 25 3 4" xfId="4895"/>
    <cellStyle name="Normal 2 2 2 25 3 4 10" xfId="4896"/>
    <cellStyle name="Normal 2 2 2 25 3 4 11" xfId="4897"/>
    <cellStyle name="Normal 2 2 2 25 3 4 2" xfId="4898"/>
    <cellStyle name="Normal 2 2 2 25 3 4 2 2" xfId="4899"/>
    <cellStyle name="Normal 2 2 2 25 3 4 3" xfId="4900"/>
    <cellStyle name="Normal 2 2 2 25 3 4 4" xfId="4901"/>
    <cellStyle name="Normal 2 2 2 25 3 4 5" xfId="4902"/>
    <cellStyle name="Normal 2 2 2 25 3 4 6" xfId="4903"/>
    <cellStyle name="Normal 2 2 2 25 3 4 7" xfId="4904"/>
    <cellStyle name="Normal 2 2 2 25 3 4 8" xfId="4905"/>
    <cellStyle name="Normal 2 2 2 25 3 4 9" xfId="4906"/>
    <cellStyle name="Normal 2 2 2 25 3 5" xfId="4907"/>
    <cellStyle name="Normal 2 2 2 25 3 5 2" xfId="4908"/>
    <cellStyle name="Normal 2 2 2 25 3 6" xfId="4909"/>
    <cellStyle name="Normal 2 2 2 25 3 7" xfId="4910"/>
    <cellStyle name="Normal 2 2 2 25 3 8" xfId="4911"/>
    <cellStyle name="Normal 2 2 2 25 3 9" xfId="4912"/>
    <cellStyle name="Normal 2 2 2 25 4" xfId="4913"/>
    <cellStyle name="Normal 2 2 2 25 4 10" xfId="4914"/>
    <cellStyle name="Normal 2 2 2 25 4 11" xfId="4915"/>
    <cellStyle name="Normal 2 2 2 25 4 12" xfId="4916"/>
    <cellStyle name="Normal 2 2 2 25 4 2" xfId="4917"/>
    <cellStyle name="Normal 2 2 2 25 4 2 10" xfId="4918"/>
    <cellStyle name="Normal 2 2 2 25 4 2 11" xfId="4919"/>
    <cellStyle name="Normal 2 2 2 25 4 2 12" xfId="4920"/>
    <cellStyle name="Normal 2 2 2 25 4 2 2" xfId="4921"/>
    <cellStyle name="Normal 2 2 2 25 4 2 2 10" xfId="4922"/>
    <cellStyle name="Normal 2 2 2 25 4 2 2 11" xfId="4923"/>
    <cellStyle name="Normal 2 2 2 25 4 2 2 2" xfId="4924"/>
    <cellStyle name="Normal 2 2 2 25 4 2 2 2 10" xfId="4925"/>
    <cellStyle name="Normal 2 2 2 25 4 2 2 2 11" xfId="4926"/>
    <cellStyle name="Normal 2 2 2 25 4 2 2 2 2" xfId="4927"/>
    <cellStyle name="Normal 2 2 2 25 4 2 2 2 2 2" xfId="4928"/>
    <cellStyle name="Normal 2 2 2 25 4 2 2 2 3" xfId="4929"/>
    <cellStyle name="Normal 2 2 2 25 4 2 2 2 4" xfId="4930"/>
    <cellStyle name="Normal 2 2 2 25 4 2 2 2 5" xfId="4931"/>
    <cellStyle name="Normal 2 2 2 25 4 2 2 2 6" xfId="4932"/>
    <cellStyle name="Normal 2 2 2 25 4 2 2 2 7" xfId="4933"/>
    <cellStyle name="Normal 2 2 2 25 4 2 2 2 8" xfId="4934"/>
    <cellStyle name="Normal 2 2 2 25 4 2 2 2 9" xfId="4935"/>
    <cellStyle name="Normal 2 2 2 25 4 2 2 3" xfId="4936"/>
    <cellStyle name="Normal 2 2 2 25 4 2 2 3 2" xfId="4937"/>
    <cellStyle name="Normal 2 2 2 25 4 2 2 4" xfId="4938"/>
    <cellStyle name="Normal 2 2 2 25 4 2 2 5" xfId="4939"/>
    <cellStyle name="Normal 2 2 2 25 4 2 2 6" xfId="4940"/>
    <cellStyle name="Normal 2 2 2 25 4 2 2 7" xfId="4941"/>
    <cellStyle name="Normal 2 2 2 25 4 2 2 8" xfId="4942"/>
    <cellStyle name="Normal 2 2 2 25 4 2 2 9" xfId="4943"/>
    <cellStyle name="Normal 2 2 2 25 4 2 3" xfId="4944"/>
    <cellStyle name="Normal 2 2 2 25 4 2 3 2" xfId="4945"/>
    <cellStyle name="Normal 2 2 2 25 4 2 4" xfId="4946"/>
    <cellStyle name="Normal 2 2 2 25 4 2 5" xfId="4947"/>
    <cellStyle name="Normal 2 2 2 25 4 2 6" xfId="4948"/>
    <cellStyle name="Normal 2 2 2 25 4 2 7" xfId="4949"/>
    <cellStyle name="Normal 2 2 2 25 4 2 8" xfId="4950"/>
    <cellStyle name="Normal 2 2 2 25 4 2 9" xfId="4951"/>
    <cellStyle name="Normal 2 2 2 25 4 3" xfId="4952"/>
    <cellStyle name="Normal 2 2 2 25 4 3 10" xfId="4953"/>
    <cellStyle name="Normal 2 2 2 25 4 3 11" xfId="4954"/>
    <cellStyle name="Normal 2 2 2 25 4 3 2" xfId="4955"/>
    <cellStyle name="Normal 2 2 2 25 4 3 2 2" xfId="4956"/>
    <cellStyle name="Normal 2 2 2 25 4 3 3" xfId="4957"/>
    <cellStyle name="Normal 2 2 2 25 4 3 4" xfId="4958"/>
    <cellStyle name="Normal 2 2 2 25 4 3 5" xfId="4959"/>
    <cellStyle name="Normal 2 2 2 25 4 3 6" xfId="4960"/>
    <cellStyle name="Normal 2 2 2 25 4 3 7" xfId="4961"/>
    <cellStyle name="Normal 2 2 2 25 4 3 8" xfId="4962"/>
    <cellStyle name="Normal 2 2 2 25 4 3 9" xfId="4963"/>
    <cellStyle name="Normal 2 2 2 25 4 4" xfId="4964"/>
    <cellStyle name="Normal 2 2 2 25 4 4 2" xfId="4965"/>
    <cellStyle name="Normal 2 2 2 25 4 5" xfId="4966"/>
    <cellStyle name="Normal 2 2 2 25 4 6" xfId="4967"/>
    <cellStyle name="Normal 2 2 2 25 4 7" xfId="4968"/>
    <cellStyle name="Normal 2 2 2 25 4 8" xfId="4969"/>
    <cellStyle name="Normal 2 2 2 25 4 9" xfId="4970"/>
    <cellStyle name="Normal 2 2 2 25 5" xfId="4971"/>
    <cellStyle name="Normal 2 2 2 25 5 10" xfId="4972"/>
    <cellStyle name="Normal 2 2 2 25 5 11" xfId="4973"/>
    <cellStyle name="Normal 2 2 2 25 5 2" xfId="4974"/>
    <cellStyle name="Normal 2 2 2 25 5 2 10" xfId="4975"/>
    <cellStyle name="Normal 2 2 2 25 5 2 11" xfId="4976"/>
    <cellStyle name="Normal 2 2 2 25 5 2 2" xfId="4977"/>
    <cellStyle name="Normal 2 2 2 25 5 2 2 2" xfId="4978"/>
    <cellStyle name="Normal 2 2 2 25 5 2 3" xfId="4979"/>
    <cellStyle name="Normal 2 2 2 25 5 2 4" xfId="4980"/>
    <cellStyle name="Normal 2 2 2 25 5 2 5" xfId="4981"/>
    <cellStyle name="Normal 2 2 2 25 5 2 6" xfId="4982"/>
    <cellStyle name="Normal 2 2 2 25 5 2 7" xfId="4983"/>
    <cellStyle name="Normal 2 2 2 25 5 2 8" xfId="4984"/>
    <cellStyle name="Normal 2 2 2 25 5 2 9" xfId="4985"/>
    <cellStyle name="Normal 2 2 2 25 5 3" xfId="4986"/>
    <cellStyle name="Normal 2 2 2 25 5 3 2" xfId="4987"/>
    <cellStyle name="Normal 2 2 2 25 5 4" xfId="4988"/>
    <cellStyle name="Normal 2 2 2 25 5 5" xfId="4989"/>
    <cellStyle name="Normal 2 2 2 25 5 6" xfId="4990"/>
    <cellStyle name="Normal 2 2 2 25 5 7" xfId="4991"/>
    <cellStyle name="Normal 2 2 2 25 5 8" xfId="4992"/>
    <cellStyle name="Normal 2 2 2 25 5 9" xfId="4993"/>
    <cellStyle name="Normal 2 2 2 25 6" xfId="4994"/>
    <cellStyle name="Normal 2 2 2 25 6 2" xfId="4995"/>
    <cellStyle name="Normal 2 2 2 25 7" xfId="4996"/>
    <cellStyle name="Normal 2 2 2 25 8" xfId="4997"/>
    <cellStyle name="Normal 2 2 2 25 9" xfId="4998"/>
    <cellStyle name="Normal 2 2 2 26" xfId="4999"/>
    <cellStyle name="Normal 2 2 2 26 10" xfId="5000"/>
    <cellStyle name="Normal 2 2 2 26 11" xfId="5001"/>
    <cellStyle name="Normal 2 2 2 26 12" xfId="5002"/>
    <cellStyle name="Normal 2 2 2 26 13" xfId="5003"/>
    <cellStyle name="Normal 2 2 2 26 14" xfId="5004"/>
    <cellStyle name="Normal 2 2 2 26 2" xfId="5005"/>
    <cellStyle name="Normal 2 2 2 26 2 10" xfId="5006"/>
    <cellStyle name="Normal 2 2 2 26 2 11" xfId="5007"/>
    <cellStyle name="Normal 2 2 2 26 2 12" xfId="5008"/>
    <cellStyle name="Normal 2 2 2 26 2 13" xfId="5009"/>
    <cellStyle name="Normal 2 2 2 26 2 2" xfId="5010"/>
    <cellStyle name="Normal 2 2 2 26 2 2 10" xfId="5011"/>
    <cellStyle name="Normal 2 2 2 26 2 2 11" xfId="5012"/>
    <cellStyle name="Normal 2 2 2 26 2 2 12" xfId="5013"/>
    <cellStyle name="Normal 2 2 2 26 2 2 13" xfId="5014"/>
    <cellStyle name="Normal 2 2 2 26 2 2 2" xfId="5015"/>
    <cellStyle name="Normal 2 2 2 26 2 2 2 10" xfId="5016"/>
    <cellStyle name="Normal 2 2 2 26 2 2 2 11" xfId="5017"/>
    <cellStyle name="Normal 2 2 2 26 2 2 2 12" xfId="5018"/>
    <cellStyle name="Normal 2 2 2 26 2 2 2 2" xfId="5019"/>
    <cellStyle name="Normal 2 2 2 26 2 2 2 2 10" xfId="5020"/>
    <cellStyle name="Normal 2 2 2 26 2 2 2 2 11" xfId="5021"/>
    <cellStyle name="Normal 2 2 2 26 2 2 2 2 12" xfId="5022"/>
    <cellStyle name="Normal 2 2 2 26 2 2 2 2 2" xfId="5023"/>
    <cellStyle name="Normal 2 2 2 26 2 2 2 2 2 10" xfId="5024"/>
    <cellStyle name="Normal 2 2 2 26 2 2 2 2 2 11" xfId="5025"/>
    <cellStyle name="Normal 2 2 2 26 2 2 2 2 2 2" xfId="5026"/>
    <cellStyle name="Normal 2 2 2 26 2 2 2 2 2 2 10" xfId="5027"/>
    <cellStyle name="Normal 2 2 2 26 2 2 2 2 2 2 11" xfId="5028"/>
    <cellStyle name="Normal 2 2 2 26 2 2 2 2 2 2 2" xfId="5029"/>
    <cellStyle name="Normal 2 2 2 26 2 2 2 2 2 2 2 2" xfId="5030"/>
    <cellStyle name="Normal 2 2 2 26 2 2 2 2 2 2 3" xfId="5031"/>
    <cellStyle name="Normal 2 2 2 26 2 2 2 2 2 2 4" xfId="5032"/>
    <cellStyle name="Normal 2 2 2 26 2 2 2 2 2 2 5" xfId="5033"/>
    <cellStyle name="Normal 2 2 2 26 2 2 2 2 2 2 6" xfId="5034"/>
    <cellStyle name="Normal 2 2 2 26 2 2 2 2 2 2 7" xfId="5035"/>
    <cellStyle name="Normal 2 2 2 26 2 2 2 2 2 2 8" xfId="5036"/>
    <cellStyle name="Normal 2 2 2 26 2 2 2 2 2 2 9" xfId="5037"/>
    <cellStyle name="Normal 2 2 2 26 2 2 2 2 2 3" xfId="5038"/>
    <cellStyle name="Normal 2 2 2 26 2 2 2 2 2 3 2" xfId="5039"/>
    <cellStyle name="Normal 2 2 2 26 2 2 2 2 2 4" xfId="5040"/>
    <cellStyle name="Normal 2 2 2 26 2 2 2 2 2 5" xfId="5041"/>
    <cellStyle name="Normal 2 2 2 26 2 2 2 2 2 6" xfId="5042"/>
    <cellStyle name="Normal 2 2 2 26 2 2 2 2 2 7" xfId="5043"/>
    <cellStyle name="Normal 2 2 2 26 2 2 2 2 2 8" xfId="5044"/>
    <cellStyle name="Normal 2 2 2 26 2 2 2 2 2 9" xfId="5045"/>
    <cellStyle name="Normal 2 2 2 26 2 2 2 2 3" xfId="5046"/>
    <cellStyle name="Normal 2 2 2 26 2 2 2 2 3 2" xfId="5047"/>
    <cellStyle name="Normal 2 2 2 26 2 2 2 2 4" xfId="5048"/>
    <cellStyle name="Normal 2 2 2 26 2 2 2 2 5" xfId="5049"/>
    <cellStyle name="Normal 2 2 2 26 2 2 2 2 6" xfId="5050"/>
    <cellStyle name="Normal 2 2 2 26 2 2 2 2 7" xfId="5051"/>
    <cellStyle name="Normal 2 2 2 26 2 2 2 2 8" xfId="5052"/>
    <cellStyle name="Normal 2 2 2 26 2 2 2 2 9" xfId="5053"/>
    <cellStyle name="Normal 2 2 2 26 2 2 2 3" xfId="5054"/>
    <cellStyle name="Normal 2 2 2 26 2 2 2 3 10" xfId="5055"/>
    <cellStyle name="Normal 2 2 2 26 2 2 2 3 11" xfId="5056"/>
    <cellStyle name="Normal 2 2 2 26 2 2 2 3 2" xfId="5057"/>
    <cellStyle name="Normal 2 2 2 26 2 2 2 3 2 2" xfId="5058"/>
    <cellStyle name="Normal 2 2 2 26 2 2 2 3 3" xfId="5059"/>
    <cellStyle name="Normal 2 2 2 26 2 2 2 3 4" xfId="5060"/>
    <cellStyle name="Normal 2 2 2 26 2 2 2 3 5" xfId="5061"/>
    <cellStyle name="Normal 2 2 2 26 2 2 2 3 6" xfId="5062"/>
    <cellStyle name="Normal 2 2 2 26 2 2 2 3 7" xfId="5063"/>
    <cellStyle name="Normal 2 2 2 26 2 2 2 3 8" xfId="5064"/>
    <cellStyle name="Normal 2 2 2 26 2 2 2 3 9" xfId="5065"/>
    <cellStyle name="Normal 2 2 2 26 2 2 2 4" xfId="5066"/>
    <cellStyle name="Normal 2 2 2 26 2 2 2 4 2" xfId="5067"/>
    <cellStyle name="Normal 2 2 2 26 2 2 2 5" xfId="5068"/>
    <cellStyle name="Normal 2 2 2 26 2 2 2 6" xfId="5069"/>
    <cellStyle name="Normal 2 2 2 26 2 2 2 7" xfId="5070"/>
    <cellStyle name="Normal 2 2 2 26 2 2 2 8" xfId="5071"/>
    <cellStyle name="Normal 2 2 2 26 2 2 2 9" xfId="5072"/>
    <cellStyle name="Normal 2 2 2 26 2 2 3" xfId="5073"/>
    <cellStyle name="Normal 2 2 2 26 2 2 3 10" xfId="5074"/>
    <cellStyle name="Normal 2 2 2 26 2 2 3 11" xfId="5075"/>
    <cellStyle name="Normal 2 2 2 26 2 2 3 2" xfId="5076"/>
    <cellStyle name="Normal 2 2 2 26 2 2 3 2 10" xfId="5077"/>
    <cellStyle name="Normal 2 2 2 26 2 2 3 2 11" xfId="5078"/>
    <cellStyle name="Normal 2 2 2 26 2 2 3 2 2" xfId="5079"/>
    <cellStyle name="Normal 2 2 2 26 2 2 3 2 2 2" xfId="5080"/>
    <cellStyle name="Normal 2 2 2 26 2 2 3 2 3" xfId="5081"/>
    <cellStyle name="Normal 2 2 2 26 2 2 3 2 4" xfId="5082"/>
    <cellStyle name="Normal 2 2 2 26 2 2 3 2 5" xfId="5083"/>
    <cellStyle name="Normal 2 2 2 26 2 2 3 2 6" xfId="5084"/>
    <cellStyle name="Normal 2 2 2 26 2 2 3 2 7" xfId="5085"/>
    <cellStyle name="Normal 2 2 2 26 2 2 3 2 8" xfId="5086"/>
    <cellStyle name="Normal 2 2 2 26 2 2 3 2 9" xfId="5087"/>
    <cellStyle name="Normal 2 2 2 26 2 2 3 3" xfId="5088"/>
    <cellStyle name="Normal 2 2 2 26 2 2 3 3 2" xfId="5089"/>
    <cellStyle name="Normal 2 2 2 26 2 2 3 4" xfId="5090"/>
    <cellStyle name="Normal 2 2 2 26 2 2 3 5" xfId="5091"/>
    <cellStyle name="Normal 2 2 2 26 2 2 3 6" xfId="5092"/>
    <cellStyle name="Normal 2 2 2 26 2 2 3 7" xfId="5093"/>
    <cellStyle name="Normal 2 2 2 26 2 2 3 8" xfId="5094"/>
    <cellStyle name="Normal 2 2 2 26 2 2 3 9" xfId="5095"/>
    <cellStyle name="Normal 2 2 2 26 2 2 4" xfId="5096"/>
    <cellStyle name="Normal 2 2 2 26 2 2 4 2" xfId="5097"/>
    <cellStyle name="Normal 2 2 2 26 2 2 5" xfId="5098"/>
    <cellStyle name="Normal 2 2 2 26 2 2 6" xfId="5099"/>
    <cellStyle name="Normal 2 2 2 26 2 2 7" xfId="5100"/>
    <cellStyle name="Normal 2 2 2 26 2 2 8" xfId="5101"/>
    <cellStyle name="Normal 2 2 2 26 2 2 9" xfId="5102"/>
    <cellStyle name="Normal 2 2 2 26 2 3" xfId="5103"/>
    <cellStyle name="Normal 2 2 2 26 2 3 10" xfId="5104"/>
    <cellStyle name="Normal 2 2 2 26 2 3 11" xfId="5105"/>
    <cellStyle name="Normal 2 2 2 26 2 3 12" xfId="5106"/>
    <cellStyle name="Normal 2 2 2 26 2 3 2" xfId="5107"/>
    <cellStyle name="Normal 2 2 2 26 2 3 2 10" xfId="5108"/>
    <cellStyle name="Normal 2 2 2 26 2 3 2 11" xfId="5109"/>
    <cellStyle name="Normal 2 2 2 26 2 3 2 2" xfId="5110"/>
    <cellStyle name="Normal 2 2 2 26 2 3 2 2 10" xfId="5111"/>
    <cellStyle name="Normal 2 2 2 26 2 3 2 2 11" xfId="5112"/>
    <cellStyle name="Normal 2 2 2 26 2 3 2 2 2" xfId="5113"/>
    <cellStyle name="Normal 2 2 2 26 2 3 2 2 2 2" xfId="5114"/>
    <cellStyle name="Normal 2 2 2 26 2 3 2 2 3" xfId="5115"/>
    <cellStyle name="Normal 2 2 2 26 2 3 2 2 4" xfId="5116"/>
    <cellStyle name="Normal 2 2 2 26 2 3 2 2 5" xfId="5117"/>
    <cellStyle name="Normal 2 2 2 26 2 3 2 2 6" xfId="5118"/>
    <cellStyle name="Normal 2 2 2 26 2 3 2 2 7" xfId="5119"/>
    <cellStyle name="Normal 2 2 2 26 2 3 2 2 8" xfId="5120"/>
    <cellStyle name="Normal 2 2 2 26 2 3 2 2 9" xfId="5121"/>
    <cellStyle name="Normal 2 2 2 26 2 3 2 3" xfId="5122"/>
    <cellStyle name="Normal 2 2 2 26 2 3 2 3 2" xfId="5123"/>
    <cellStyle name="Normal 2 2 2 26 2 3 2 4" xfId="5124"/>
    <cellStyle name="Normal 2 2 2 26 2 3 2 5" xfId="5125"/>
    <cellStyle name="Normal 2 2 2 26 2 3 2 6" xfId="5126"/>
    <cellStyle name="Normal 2 2 2 26 2 3 2 7" xfId="5127"/>
    <cellStyle name="Normal 2 2 2 26 2 3 2 8" xfId="5128"/>
    <cellStyle name="Normal 2 2 2 26 2 3 2 9" xfId="5129"/>
    <cellStyle name="Normal 2 2 2 26 2 3 3" xfId="5130"/>
    <cellStyle name="Normal 2 2 2 26 2 3 3 2" xfId="5131"/>
    <cellStyle name="Normal 2 2 2 26 2 3 4" xfId="5132"/>
    <cellStyle name="Normal 2 2 2 26 2 3 5" xfId="5133"/>
    <cellStyle name="Normal 2 2 2 26 2 3 6" xfId="5134"/>
    <cellStyle name="Normal 2 2 2 26 2 3 7" xfId="5135"/>
    <cellStyle name="Normal 2 2 2 26 2 3 8" xfId="5136"/>
    <cellStyle name="Normal 2 2 2 26 2 3 9" xfId="5137"/>
    <cellStyle name="Normal 2 2 2 26 2 4" xfId="5138"/>
    <cellStyle name="Normal 2 2 2 26 2 4 10" xfId="5139"/>
    <cellStyle name="Normal 2 2 2 26 2 4 11" xfId="5140"/>
    <cellStyle name="Normal 2 2 2 26 2 4 2" xfId="5141"/>
    <cellStyle name="Normal 2 2 2 26 2 4 2 2" xfId="5142"/>
    <cellStyle name="Normal 2 2 2 26 2 4 3" xfId="5143"/>
    <cellStyle name="Normal 2 2 2 26 2 4 4" xfId="5144"/>
    <cellStyle name="Normal 2 2 2 26 2 4 5" xfId="5145"/>
    <cellStyle name="Normal 2 2 2 26 2 4 6" xfId="5146"/>
    <cellStyle name="Normal 2 2 2 26 2 4 7" xfId="5147"/>
    <cellStyle name="Normal 2 2 2 26 2 4 8" xfId="5148"/>
    <cellStyle name="Normal 2 2 2 26 2 4 9" xfId="5149"/>
    <cellStyle name="Normal 2 2 2 26 2 5" xfId="5150"/>
    <cellStyle name="Normal 2 2 2 26 2 5 2" xfId="5151"/>
    <cellStyle name="Normal 2 2 2 26 2 6" xfId="5152"/>
    <cellStyle name="Normal 2 2 2 26 2 7" xfId="5153"/>
    <cellStyle name="Normal 2 2 2 26 2 8" xfId="5154"/>
    <cellStyle name="Normal 2 2 2 26 2 9" xfId="5155"/>
    <cellStyle name="Normal 2 2 2 26 3" xfId="5156"/>
    <cellStyle name="Normal 2 2 2 26 3 10" xfId="5157"/>
    <cellStyle name="Normal 2 2 2 26 3 11" xfId="5158"/>
    <cellStyle name="Normal 2 2 2 26 3 12" xfId="5159"/>
    <cellStyle name="Normal 2 2 2 26 3 2" xfId="5160"/>
    <cellStyle name="Normal 2 2 2 26 3 2 10" xfId="5161"/>
    <cellStyle name="Normal 2 2 2 26 3 2 11" xfId="5162"/>
    <cellStyle name="Normal 2 2 2 26 3 2 12" xfId="5163"/>
    <cellStyle name="Normal 2 2 2 26 3 2 2" xfId="5164"/>
    <cellStyle name="Normal 2 2 2 26 3 2 2 10" xfId="5165"/>
    <cellStyle name="Normal 2 2 2 26 3 2 2 11" xfId="5166"/>
    <cellStyle name="Normal 2 2 2 26 3 2 2 2" xfId="5167"/>
    <cellStyle name="Normal 2 2 2 26 3 2 2 2 10" xfId="5168"/>
    <cellStyle name="Normal 2 2 2 26 3 2 2 2 11" xfId="5169"/>
    <cellStyle name="Normal 2 2 2 26 3 2 2 2 2" xfId="5170"/>
    <cellStyle name="Normal 2 2 2 26 3 2 2 2 2 2" xfId="5171"/>
    <cellStyle name="Normal 2 2 2 26 3 2 2 2 3" xfId="5172"/>
    <cellStyle name="Normal 2 2 2 26 3 2 2 2 4" xfId="5173"/>
    <cellStyle name="Normal 2 2 2 26 3 2 2 2 5" xfId="5174"/>
    <cellStyle name="Normal 2 2 2 26 3 2 2 2 6" xfId="5175"/>
    <cellStyle name="Normal 2 2 2 26 3 2 2 2 7" xfId="5176"/>
    <cellStyle name="Normal 2 2 2 26 3 2 2 2 8" xfId="5177"/>
    <cellStyle name="Normal 2 2 2 26 3 2 2 2 9" xfId="5178"/>
    <cellStyle name="Normal 2 2 2 26 3 2 2 3" xfId="5179"/>
    <cellStyle name="Normal 2 2 2 26 3 2 2 3 2" xfId="5180"/>
    <cellStyle name="Normal 2 2 2 26 3 2 2 4" xfId="5181"/>
    <cellStyle name="Normal 2 2 2 26 3 2 2 5" xfId="5182"/>
    <cellStyle name="Normal 2 2 2 26 3 2 2 6" xfId="5183"/>
    <cellStyle name="Normal 2 2 2 26 3 2 2 7" xfId="5184"/>
    <cellStyle name="Normal 2 2 2 26 3 2 2 8" xfId="5185"/>
    <cellStyle name="Normal 2 2 2 26 3 2 2 9" xfId="5186"/>
    <cellStyle name="Normal 2 2 2 26 3 2 3" xfId="5187"/>
    <cellStyle name="Normal 2 2 2 26 3 2 3 2" xfId="5188"/>
    <cellStyle name="Normal 2 2 2 26 3 2 4" xfId="5189"/>
    <cellStyle name="Normal 2 2 2 26 3 2 5" xfId="5190"/>
    <cellStyle name="Normal 2 2 2 26 3 2 6" xfId="5191"/>
    <cellStyle name="Normal 2 2 2 26 3 2 7" xfId="5192"/>
    <cellStyle name="Normal 2 2 2 26 3 2 8" xfId="5193"/>
    <cellStyle name="Normal 2 2 2 26 3 2 9" xfId="5194"/>
    <cellStyle name="Normal 2 2 2 26 3 3" xfId="5195"/>
    <cellStyle name="Normal 2 2 2 26 3 3 10" xfId="5196"/>
    <cellStyle name="Normal 2 2 2 26 3 3 11" xfId="5197"/>
    <cellStyle name="Normal 2 2 2 26 3 3 2" xfId="5198"/>
    <cellStyle name="Normal 2 2 2 26 3 3 2 2" xfId="5199"/>
    <cellStyle name="Normal 2 2 2 26 3 3 3" xfId="5200"/>
    <cellStyle name="Normal 2 2 2 26 3 3 4" xfId="5201"/>
    <cellStyle name="Normal 2 2 2 26 3 3 5" xfId="5202"/>
    <cellStyle name="Normal 2 2 2 26 3 3 6" xfId="5203"/>
    <cellStyle name="Normal 2 2 2 26 3 3 7" xfId="5204"/>
    <cellStyle name="Normal 2 2 2 26 3 3 8" xfId="5205"/>
    <cellStyle name="Normal 2 2 2 26 3 3 9" xfId="5206"/>
    <cellStyle name="Normal 2 2 2 26 3 4" xfId="5207"/>
    <cellStyle name="Normal 2 2 2 26 3 4 2" xfId="5208"/>
    <cellStyle name="Normal 2 2 2 26 3 5" xfId="5209"/>
    <cellStyle name="Normal 2 2 2 26 3 6" xfId="5210"/>
    <cellStyle name="Normal 2 2 2 26 3 7" xfId="5211"/>
    <cellStyle name="Normal 2 2 2 26 3 8" xfId="5212"/>
    <cellStyle name="Normal 2 2 2 26 3 9" xfId="5213"/>
    <cellStyle name="Normal 2 2 2 26 4" xfId="5214"/>
    <cellStyle name="Normal 2 2 2 26 4 10" xfId="5215"/>
    <cellStyle name="Normal 2 2 2 26 4 11" xfId="5216"/>
    <cellStyle name="Normal 2 2 2 26 4 2" xfId="5217"/>
    <cellStyle name="Normal 2 2 2 26 4 2 10" xfId="5218"/>
    <cellStyle name="Normal 2 2 2 26 4 2 11" xfId="5219"/>
    <cellStyle name="Normal 2 2 2 26 4 2 2" xfId="5220"/>
    <cellStyle name="Normal 2 2 2 26 4 2 2 2" xfId="5221"/>
    <cellStyle name="Normal 2 2 2 26 4 2 3" xfId="5222"/>
    <cellStyle name="Normal 2 2 2 26 4 2 4" xfId="5223"/>
    <cellStyle name="Normal 2 2 2 26 4 2 5" xfId="5224"/>
    <cellStyle name="Normal 2 2 2 26 4 2 6" xfId="5225"/>
    <cellStyle name="Normal 2 2 2 26 4 2 7" xfId="5226"/>
    <cellStyle name="Normal 2 2 2 26 4 2 8" xfId="5227"/>
    <cellStyle name="Normal 2 2 2 26 4 2 9" xfId="5228"/>
    <cellStyle name="Normal 2 2 2 26 4 3" xfId="5229"/>
    <cellStyle name="Normal 2 2 2 26 4 3 2" xfId="5230"/>
    <cellStyle name="Normal 2 2 2 26 4 4" xfId="5231"/>
    <cellStyle name="Normal 2 2 2 26 4 5" xfId="5232"/>
    <cellStyle name="Normal 2 2 2 26 4 6" xfId="5233"/>
    <cellStyle name="Normal 2 2 2 26 4 7" xfId="5234"/>
    <cellStyle name="Normal 2 2 2 26 4 8" xfId="5235"/>
    <cellStyle name="Normal 2 2 2 26 4 9" xfId="5236"/>
    <cellStyle name="Normal 2 2 2 26 5" xfId="5237"/>
    <cellStyle name="Normal 2 2 2 26 5 2" xfId="5238"/>
    <cellStyle name="Normal 2 2 2 26 6" xfId="5239"/>
    <cellStyle name="Normal 2 2 2 26 7" xfId="5240"/>
    <cellStyle name="Normal 2 2 2 26 8" xfId="5241"/>
    <cellStyle name="Normal 2 2 2 26 9" xfId="5242"/>
    <cellStyle name="Normal 2 2 2 27" xfId="5243"/>
    <cellStyle name="Normal 2 2 2 27 10" xfId="5244"/>
    <cellStyle name="Normal 2 2 2 27 11" xfId="5245"/>
    <cellStyle name="Normal 2 2 2 27 12" xfId="5246"/>
    <cellStyle name="Normal 2 2 2 27 13" xfId="5247"/>
    <cellStyle name="Normal 2 2 2 27 2" xfId="5248"/>
    <cellStyle name="Normal 2 2 2 27 2 10" xfId="5249"/>
    <cellStyle name="Normal 2 2 2 27 2 11" xfId="5250"/>
    <cellStyle name="Normal 2 2 2 27 2 12" xfId="5251"/>
    <cellStyle name="Normal 2 2 2 27 2 2" xfId="5252"/>
    <cellStyle name="Normal 2 2 2 27 2 2 10" xfId="5253"/>
    <cellStyle name="Normal 2 2 2 27 2 2 11" xfId="5254"/>
    <cellStyle name="Normal 2 2 2 27 2 2 12" xfId="5255"/>
    <cellStyle name="Normal 2 2 2 27 2 2 2" xfId="5256"/>
    <cellStyle name="Normal 2 2 2 27 2 2 2 10" xfId="5257"/>
    <cellStyle name="Normal 2 2 2 27 2 2 2 11" xfId="5258"/>
    <cellStyle name="Normal 2 2 2 27 2 2 2 2" xfId="5259"/>
    <cellStyle name="Normal 2 2 2 27 2 2 2 2 10" xfId="5260"/>
    <cellStyle name="Normal 2 2 2 27 2 2 2 2 11" xfId="5261"/>
    <cellStyle name="Normal 2 2 2 27 2 2 2 2 2" xfId="5262"/>
    <cellStyle name="Normal 2 2 2 27 2 2 2 2 2 2" xfId="5263"/>
    <cellStyle name="Normal 2 2 2 27 2 2 2 2 3" xfId="5264"/>
    <cellStyle name="Normal 2 2 2 27 2 2 2 2 4" xfId="5265"/>
    <cellStyle name="Normal 2 2 2 27 2 2 2 2 5" xfId="5266"/>
    <cellStyle name="Normal 2 2 2 27 2 2 2 2 6" xfId="5267"/>
    <cellStyle name="Normal 2 2 2 27 2 2 2 2 7" xfId="5268"/>
    <cellStyle name="Normal 2 2 2 27 2 2 2 2 8" xfId="5269"/>
    <cellStyle name="Normal 2 2 2 27 2 2 2 2 9" xfId="5270"/>
    <cellStyle name="Normal 2 2 2 27 2 2 2 3" xfId="5271"/>
    <cellStyle name="Normal 2 2 2 27 2 2 2 3 2" xfId="5272"/>
    <cellStyle name="Normal 2 2 2 27 2 2 2 4" xfId="5273"/>
    <cellStyle name="Normal 2 2 2 27 2 2 2 5" xfId="5274"/>
    <cellStyle name="Normal 2 2 2 27 2 2 2 6" xfId="5275"/>
    <cellStyle name="Normal 2 2 2 27 2 2 2 7" xfId="5276"/>
    <cellStyle name="Normal 2 2 2 27 2 2 2 8" xfId="5277"/>
    <cellStyle name="Normal 2 2 2 27 2 2 2 9" xfId="5278"/>
    <cellStyle name="Normal 2 2 2 27 2 2 3" xfId="5279"/>
    <cellStyle name="Normal 2 2 2 27 2 2 3 2" xfId="5280"/>
    <cellStyle name="Normal 2 2 2 27 2 2 4" xfId="5281"/>
    <cellStyle name="Normal 2 2 2 27 2 2 5" xfId="5282"/>
    <cellStyle name="Normal 2 2 2 27 2 2 6" xfId="5283"/>
    <cellStyle name="Normal 2 2 2 27 2 2 7" xfId="5284"/>
    <cellStyle name="Normal 2 2 2 27 2 2 8" xfId="5285"/>
    <cellStyle name="Normal 2 2 2 27 2 2 9" xfId="5286"/>
    <cellStyle name="Normal 2 2 2 27 2 3" xfId="5287"/>
    <cellStyle name="Normal 2 2 2 27 2 3 10" xfId="5288"/>
    <cellStyle name="Normal 2 2 2 27 2 3 11" xfId="5289"/>
    <cellStyle name="Normal 2 2 2 27 2 3 2" xfId="5290"/>
    <cellStyle name="Normal 2 2 2 27 2 3 2 2" xfId="5291"/>
    <cellStyle name="Normal 2 2 2 27 2 3 3" xfId="5292"/>
    <cellStyle name="Normal 2 2 2 27 2 3 4" xfId="5293"/>
    <cellStyle name="Normal 2 2 2 27 2 3 5" xfId="5294"/>
    <cellStyle name="Normal 2 2 2 27 2 3 6" xfId="5295"/>
    <cellStyle name="Normal 2 2 2 27 2 3 7" xfId="5296"/>
    <cellStyle name="Normal 2 2 2 27 2 3 8" xfId="5297"/>
    <cellStyle name="Normal 2 2 2 27 2 3 9" xfId="5298"/>
    <cellStyle name="Normal 2 2 2 27 2 4" xfId="5299"/>
    <cellStyle name="Normal 2 2 2 27 2 4 2" xfId="5300"/>
    <cellStyle name="Normal 2 2 2 27 2 5" xfId="5301"/>
    <cellStyle name="Normal 2 2 2 27 2 6" xfId="5302"/>
    <cellStyle name="Normal 2 2 2 27 2 7" xfId="5303"/>
    <cellStyle name="Normal 2 2 2 27 2 8" xfId="5304"/>
    <cellStyle name="Normal 2 2 2 27 2 9" xfId="5305"/>
    <cellStyle name="Normal 2 2 2 27 3" xfId="5306"/>
    <cellStyle name="Normal 2 2 2 27 3 10" xfId="5307"/>
    <cellStyle name="Normal 2 2 2 27 3 11" xfId="5308"/>
    <cellStyle name="Normal 2 2 2 27 3 2" xfId="5309"/>
    <cellStyle name="Normal 2 2 2 27 3 2 10" xfId="5310"/>
    <cellStyle name="Normal 2 2 2 27 3 2 11" xfId="5311"/>
    <cellStyle name="Normal 2 2 2 27 3 2 2" xfId="5312"/>
    <cellStyle name="Normal 2 2 2 27 3 2 2 2" xfId="5313"/>
    <cellStyle name="Normal 2 2 2 27 3 2 3" xfId="5314"/>
    <cellStyle name="Normal 2 2 2 27 3 2 4" xfId="5315"/>
    <cellStyle name="Normal 2 2 2 27 3 2 5" xfId="5316"/>
    <cellStyle name="Normal 2 2 2 27 3 2 6" xfId="5317"/>
    <cellStyle name="Normal 2 2 2 27 3 2 7" xfId="5318"/>
    <cellStyle name="Normal 2 2 2 27 3 2 8" xfId="5319"/>
    <cellStyle name="Normal 2 2 2 27 3 2 9" xfId="5320"/>
    <cellStyle name="Normal 2 2 2 27 3 3" xfId="5321"/>
    <cellStyle name="Normal 2 2 2 27 3 3 2" xfId="5322"/>
    <cellStyle name="Normal 2 2 2 27 3 4" xfId="5323"/>
    <cellStyle name="Normal 2 2 2 27 3 5" xfId="5324"/>
    <cellStyle name="Normal 2 2 2 27 3 6" xfId="5325"/>
    <cellStyle name="Normal 2 2 2 27 3 7" xfId="5326"/>
    <cellStyle name="Normal 2 2 2 27 3 8" xfId="5327"/>
    <cellStyle name="Normal 2 2 2 27 3 9" xfId="5328"/>
    <cellStyle name="Normal 2 2 2 27 4" xfId="5329"/>
    <cellStyle name="Normal 2 2 2 27 4 2" xfId="5330"/>
    <cellStyle name="Normal 2 2 2 27 5" xfId="5331"/>
    <cellStyle name="Normal 2 2 2 27 6" xfId="5332"/>
    <cellStyle name="Normal 2 2 2 27 7" xfId="5333"/>
    <cellStyle name="Normal 2 2 2 27 8" xfId="5334"/>
    <cellStyle name="Normal 2 2 2 27 9" xfId="5335"/>
    <cellStyle name="Normal 2 2 2 28" xfId="5336"/>
    <cellStyle name="Normal 2 2 2 28 10" xfId="5337"/>
    <cellStyle name="Normal 2 2 2 28 11" xfId="5338"/>
    <cellStyle name="Normal 2 2 2 28 12" xfId="5339"/>
    <cellStyle name="Normal 2 2 2 28 2" xfId="5340"/>
    <cellStyle name="Normal 2 2 2 28 2 10" xfId="5341"/>
    <cellStyle name="Normal 2 2 2 28 2 11" xfId="5342"/>
    <cellStyle name="Normal 2 2 2 28 2 2" xfId="5343"/>
    <cellStyle name="Normal 2 2 2 28 2 2 10" xfId="5344"/>
    <cellStyle name="Normal 2 2 2 28 2 2 11" xfId="5345"/>
    <cellStyle name="Normal 2 2 2 28 2 2 2" xfId="5346"/>
    <cellStyle name="Normal 2 2 2 28 2 2 2 2" xfId="5347"/>
    <cellStyle name="Normal 2 2 2 28 2 2 3" xfId="5348"/>
    <cellStyle name="Normal 2 2 2 28 2 2 4" xfId="5349"/>
    <cellStyle name="Normal 2 2 2 28 2 2 5" xfId="5350"/>
    <cellStyle name="Normal 2 2 2 28 2 2 6" xfId="5351"/>
    <cellStyle name="Normal 2 2 2 28 2 2 7" xfId="5352"/>
    <cellStyle name="Normal 2 2 2 28 2 2 8" xfId="5353"/>
    <cellStyle name="Normal 2 2 2 28 2 2 9" xfId="5354"/>
    <cellStyle name="Normal 2 2 2 28 2 3" xfId="5355"/>
    <cellStyle name="Normal 2 2 2 28 2 3 2" xfId="5356"/>
    <cellStyle name="Normal 2 2 2 28 2 4" xfId="5357"/>
    <cellStyle name="Normal 2 2 2 28 2 5" xfId="5358"/>
    <cellStyle name="Normal 2 2 2 28 2 6" xfId="5359"/>
    <cellStyle name="Normal 2 2 2 28 2 7" xfId="5360"/>
    <cellStyle name="Normal 2 2 2 28 2 8" xfId="5361"/>
    <cellStyle name="Normal 2 2 2 28 2 9" xfId="5362"/>
    <cellStyle name="Normal 2 2 2 28 3" xfId="5363"/>
    <cellStyle name="Normal 2 2 2 28 3 2" xfId="5364"/>
    <cellStyle name="Normal 2 2 2 28 4" xfId="5365"/>
    <cellStyle name="Normal 2 2 2 28 5" xfId="5366"/>
    <cellStyle name="Normal 2 2 2 28 6" xfId="5367"/>
    <cellStyle name="Normal 2 2 2 28 7" xfId="5368"/>
    <cellStyle name="Normal 2 2 2 28 8" xfId="5369"/>
    <cellStyle name="Normal 2 2 2 28 9" xfId="5370"/>
    <cellStyle name="Normal 2 2 2 29" xfId="5371"/>
    <cellStyle name="Normal 2 2 2 29 10" xfId="5372"/>
    <cellStyle name="Normal 2 2 2 29 11" xfId="5373"/>
    <cellStyle name="Normal 2 2 2 29 2" xfId="5374"/>
    <cellStyle name="Normal 2 2 2 29 2 2" xfId="5375"/>
    <cellStyle name="Normal 2 2 2 29 3" xfId="5376"/>
    <cellStyle name="Normal 2 2 2 29 4" xfId="5377"/>
    <cellStyle name="Normal 2 2 2 29 5" xfId="5378"/>
    <cellStyle name="Normal 2 2 2 29 6" xfId="5379"/>
    <cellStyle name="Normal 2 2 2 29 7" xfId="5380"/>
    <cellStyle name="Normal 2 2 2 29 8" xfId="5381"/>
    <cellStyle name="Normal 2 2 2 29 9" xfId="5382"/>
    <cellStyle name="Normal 2 2 2 3" xfId="5383"/>
    <cellStyle name="Normal 2 2 2 30" xfId="5384"/>
    <cellStyle name="Normal 2 2 2 30 2" xfId="5385"/>
    <cellStyle name="Normal 2 2 2 31" xfId="5386"/>
    <cellStyle name="Normal 2 2 2 32" xfId="5387"/>
    <cellStyle name="Normal 2 2 2 33" xfId="5388"/>
    <cellStyle name="Normal 2 2 2 34" xfId="5389"/>
    <cellStyle name="Normal 2 2 2 35" xfId="5390"/>
    <cellStyle name="Normal 2 2 2 36" xfId="5391"/>
    <cellStyle name="Normal 2 2 2 37" xfId="5392"/>
    <cellStyle name="Normal 2 2 2 38" xfId="5393"/>
    <cellStyle name="Normal 2 2 2 39" xfId="5394"/>
    <cellStyle name="Normal 2 2 2 39 2" xfId="5395"/>
    <cellStyle name="Normal 2 2 2 4" xfId="5396"/>
    <cellStyle name="Normal 2 2 2 40" xfId="5397"/>
    <cellStyle name="Normal 2 2 2 41" xfId="5398"/>
    <cellStyle name="Normal 2 2 2 42" xfId="5399"/>
    <cellStyle name="Normal 2 2 2 43" xfId="5400"/>
    <cellStyle name="Normal 2 2 2 44" xfId="5401"/>
    <cellStyle name="Normal 2 2 2 45" xfId="5402"/>
    <cellStyle name="Normal 2 2 2 46" xfId="5403"/>
    <cellStyle name="Normal 2 2 2 47" xfId="5404"/>
    <cellStyle name="Normal 2 2 2 48" xfId="5405"/>
    <cellStyle name="Normal 2 2 2 49" xfId="5406"/>
    <cellStyle name="Normal 2 2 2 5" xfId="5407"/>
    <cellStyle name="Normal 2 2 2 50" xfId="5408"/>
    <cellStyle name="Normal 2 2 2 51" xfId="5409"/>
    <cellStyle name="Normal 2 2 2 52" xfId="5410"/>
    <cellStyle name="Normal 2 2 2 53" xfId="5411"/>
    <cellStyle name="Normal 2 2 2 54" xfId="5412"/>
    <cellStyle name="Normal 2 2 2 55" xfId="5413"/>
    <cellStyle name="Normal 2 2 2 55 2" xfId="5414"/>
    <cellStyle name="Normal 2 2 2 56" xfId="5415"/>
    <cellStyle name="Normal 2 2 2 57" xfId="5416"/>
    <cellStyle name="Normal 2 2 2 58" xfId="5417"/>
    <cellStyle name="Normal 2 2 2 6" xfId="5418"/>
    <cellStyle name="Normal 2 2 2 6 2" xfId="5419"/>
    <cellStyle name="Normal 2 2 2 6 2 2" xfId="5420"/>
    <cellStyle name="Normal 2 2 2 7" xfId="5421"/>
    <cellStyle name="Normal 2 2 2 7 2" xfId="5422"/>
    <cellStyle name="Normal 2 2 2 8" xfId="5423"/>
    <cellStyle name="Normal 2 2 2 9" xfId="5424"/>
    <cellStyle name="Normal 2 2 20" xfId="5425"/>
    <cellStyle name="Normal 2 2 21" xfId="5426"/>
    <cellStyle name="Normal 2 2 22" xfId="5427"/>
    <cellStyle name="Normal 2 2 23" xfId="5428"/>
    <cellStyle name="Normal 2 2 24" xfId="5429"/>
    <cellStyle name="Normal 2 2 25" xfId="5430"/>
    <cellStyle name="Normal 2 2 26" xfId="5431"/>
    <cellStyle name="Normal 2 2 26 10" xfId="5432"/>
    <cellStyle name="Normal 2 2 26 11" xfId="5433"/>
    <cellStyle name="Normal 2 2 26 12" xfId="5434"/>
    <cellStyle name="Normal 2 2 26 13" xfId="5435"/>
    <cellStyle name="Normal 2 2 26 14" xfId="5436"/>
    <cellStyle name="Normal 2 2 26 15" xfId="5437"/>
    <cellStyle name="Normal 2 2 26 2" xfId="5438"/>
    <cellStyle name="Normal 2 2 26 2 10" xfId="5439"/>
    <cellStyle name="Normal 2 2 26 2 11" xfId="5440"/>
    <cellStyle name="Normal 2 2 26 2 12" xfId="5441"/>
    <cellStyle name="Normal 2 2 26 2 13" xfId="5442"/>
    <cellStyle name="Normal 2 2 26 2 14" xfId="5443"/>
    <cellStyle name="Normal 2 2 26 2 2" xfId="5444"/>
    <cellStyle name="Normal 2 2 26 2 2 10" xfId="5445"/>
    <cellStyle name="Normal 2 2 26 2 2 11" xfId="5446"/>
    <cellStyle name="Normal 2 2 26 2 2 12" xfId="5447"/>
    <cellStyle name="Normal 2 2 26 2 2 13" xfId="5448"/>
    <cellStyle name="Normal 2 2 26 2 2 14" xfId="5449"/>
    <cellStyle name="Normal 2 2 26 2 2 2" xfId="5450"/>
    <cellStyle name="Normal 2 2 26 2 2 2 10" xfId="5451"/>
    <cellStyle name="Normal 2 2 26 2 2 2 11" xfId="5452"/>
    <cellStyle name="Normal 2 2 26 2 2 2 12" xfId="5453"/>
    <cellStyle name="Normal 2 2 26 2 2 2 13" xfId="5454"/>
    <cellStyle name="Normal 2 2 26 2 2 2 2" xfId="5455"/>
    <cellStyle name="Normal 2 2 26 2 2 2 2 10" xfId="5456"/>
    <cellStyle name="Normal 2 2 26 2 2 2 2 11" xfId="5457"/>
    <cellStyle name="Normal 2 2 26 2 2 2 2 12" xfId="5458"/>
    <cellStyle name="Normal 2 2 26 2 2 2 2 13" xfId="5459"/>
    <cellStyle name="Normal 2 2 26 2 2 2 2 2" xfId="5460"/>
    <cellStyle name="Normal 2 2 26 2 2 2 2 2 10" xfId="5461"/>
    <cellStyle name="Normal 2 2 26 2 2 2 2 2 11" xfId="5462"/>
    <cellStyle name="Normal 2 2 26 2 2 2 2 2 12" xfId="5463"/>
    <cellStyle name="Normal 2 2 26 2 2 2 2 2 2" xfId="5464"/>
    <cellStyle name="Normal 2 2 26 2 2 2 2 2 2 10" xfId="5465"/>
    <cellStyle name="Normal 2 2 26 2 2 2 2 2 2 11" xfId="5466"/>
    <cellStyle name="Normal 2 2 26 2 2 2 2 2 2 12" xfId="5467"/>
    <cellStyle name="Normal 2 2 26 2 2 2 2 2 2 2" xfId="5468"/>
    <cellStyle name="Normal 2 2 26 2 2 2 2 2 2 2 10" xfId="5469"/>
    <cellStyle name="Normal 2 2 26 2 2 2 2 2 2 2 11" xfId="5470"/>
    <cellStyle name="Normal 2 2 26 2 2 2 2 2 2 2 2" xfId="5471"/>
    <cellStyle name="Normal 2 2 26 2 2 2 2 2 2 2 2 10" xfId="5472"/>
    <cellStyle name="Normal 2 2 26 2 2 2 2 2 2 2 2 11" xfId="5473"/>
    <cellStyle name="Normal 2 2 26 2 2 2 2 2 2 2 2 2" xfId="5474"/>
    <cellStyle name="Normal 2 2 26 2 2 2 2 2 2 2 2 2 2" xfId="5475"/>
    <cellStyle name="Normal 2 2 26 2 2 2 2 2 2 2 2 3" xfId="5476"/>
    <cellStyle name="Normal 2 2 26 2 2 2 2 2 2 2 2 4" xfId="5477"/>
    <cellStyle name="Normal 2 2 26 2 2 2 2 2 2 2 2 5" xfId="5478"/>
    <cellStyle name="Normal 2 2 26 2 2 2 2 2 2 2 2 6" xfId="5479"/>
    <cellStyle name="Normal 2 2 26 2 2 2 2 2 2 2 2 7" xfId="5480"/>
    <cellStyle name="Normal 2 2 26 2 2 2 2 2 2 2 2 8" xfId="5481"/>
    <cellStyle name="Normal 2 2 26 2 2 2 2 2 2 2 2 9" xfId="5482"/>
    <cellStyle name="Normal 2 2 26 2 2 2 2 2 2 2 3" xfId="5483"/>
    <cellStyle name="Normal 2 2 26 2 2 2 2 2 2 2 3 2" xfId="5484"/>
    <cellStyle name="Normal 2 2 26 2 2 2 2 2 2 2 4" xfId="5485"/>
    <cellStyle name="Normal 2 2 26 2 2 2 2 2 2 2 5" xfId="5486"/>
    <cellStyle name="Normal 2 2 26 2 2 2 2 2 2 2 6" xfId="5487"/>
    <cellStyle name="Normal 2 2 26 2 2 2 2 2 2 2 7" xfId="5488"/>
    <cellStyle name="Normal 2 2 26 2 2 2 2 2 2 2 8" xfId="5489"/>
    <cellStyle name="Normal 2 2 26 2 2 2 2 2 2 2 9" xfId="5490"/>
    <cellStyle name="Normal 2 2 26 2 2 2 2 2 2 3" xfId="5491"/>
    <cellStyle name="Normal 2 2 26 2 2 2 2 2 2 3 2" xfId="5492"/>
    <cellStyle name="Normal 2 2 26 2 2 2 2 2 2 4" xfId="5493"/>
    <cellStyle name="Normal 2 2 26 2 2 2 2 2 2 5" xfId="5494"/>
    <cellStyle name="Normal 2 2 26 2 2 2 2 2 2 6" xfId="5495"/>
    <cellStyle name="Normal 2 2 26 2 2 2 2 2 2 7" xfId="5496"/>
    <cellStyle name="Normal 2 2 26 2 2 2 2 2 2 8" xfId="5497"/>
    <cellStyle name="Normal 2 2 26 2 2 2 2 2 2 9" xfId="5498"/>
    <cellStyle name="Normal 2 2 26 2 2 2 2 2 3" xfId="5499"/>
    <cellStyle name="Normal 2 2 26 2 2 2 2 2 3 10" xfId="5500"/>
    <cellStyle name="Normal 2 2 26 2 2 2 2 2 3 11" xfId="5501"/>
    <cellStyle name="Normal 2 2 26 2 2 2 2 2 3 2" xfId="5502"/>
    <cellStyle name="Normal 2 2 26 2 2 2 2 2 3 2 2" xfId="5503"/>
    <cellStyle name="Normal 2 2 26 2 2 2 2 2 3 3" xfId="5504"/>
    <cellStyle name="Normal 2 2 26 2 2 2 2 2 3 4" xfId="5505"/>
    <cellStyle name="Normal 2 2 26 2 2 2 2 2 3 5" xfId="5506"/>
    <cellStyle name="Normal 2 2 26 2 2 2 2 2 3 6" xfId="5507"/>
    <cellStyle name="Normal 2 2 26 2 2 2 2 2 3 7" xfId="5508"/>
    <cellStyle name="Normal 2 2 26 2 2 2 2 2 3 8" xfId="5509"/>
    <cellStyle name="Normal 2 2 26 2 2 2 2 2 3 9" xfId="5510"/>
    <cellStyle name="Normal 2 2 26 2 2 2 2 2 4" xfId="5511"/>
    <cellStyle name="Normal 2 2 26 2 2 2 2 2 4 2" xfId="5512"/>
    <cellStyle name="Normal 2 2 26 2 2 2 2 2 5" xfId="5513"/>
    <cellStyle name="Normal 2 2 26 2 2 2 2 2 6" xfId="5514"/>
    <cellStyle name="Normal 2 2 26 2 2 2 2 2 7" xfId="5515"/>
    <cellStyle name="Normal 2 2 26 2 2 2 2 2 8" xfId="5516"/>
    <cellStyle name="Normal 2 2 26 2 2 2 2 2 9" xfId="5517"/>
    <cellStyle name="Normal 2 2 26 2 2 2 2 3" xfId="5518"/>
    <cellStyle name="Normal 2 2 26 2 2 2 2 3 10" xfId="5519"/>
    <cellStyle name="Normal 2 2 26 2 2 2 2 3 11" xfId="5520"/>
    <cellStyle name="Normal 2 2 26 2 2 2 2 3 2" xfId="5521"/>
    <cellStyle name="Normal 2 2 26 2 2 2 2 3 2 10" xfId="5522"/>
    <cellStyle name="Normal 2 2 26 2 2 2 2 3 2 11" xfId="5523"/>
    <cellStyle name="Normal 2 2 26 2 2 2 2 3 2 2" xfId="5524"/>
    <cellStyle name="Normal 2 2 26 2 2 2 2 3 2 2 2" xfId="5525"/>
    <cellStyle name="Normal 2 2 26 2 2 2 2 3 2 3" xfId="5526"/>
    <cellStyle name="Normal 2 2 26 2 2 2 2 3 2 4" xfId="5527"/>
    <cellStyle name="Normal 2 2 26 2 2 2 2 3 2 5" xfId="5528"/>
    <cellStyle name="Normal 2 2 26 2 2 2 2 3 2 6" xfId="5529"/>
    <cellStyle name="Normal 2 2 26 2 2 2 2 3 2 7" xfId="5530"/>
    <cellStyle name="Normal 2 2 26 2 2 2 2 3 2 8" xfId="5531"/>
    <cellStyle name="Normal 2 2 26 2 2 2 2 3 2 9" xfId="5532"/>
    <cellStyle name="Normal 2 2 26 2 2 2 2 3 3" xfId="5533"/>
    <cellStyle name="Normal 2 2 26 2 2 2 2 3 3 2" xfId="5534"/>
    <cellStyle name="Normal 2 2 26 2 2 2 2 3 4" xfId="5535"/>
    <cellStyle name="Normal 2 2 26 2 2 2 2 3 5" xfId="5536"/>
    <cellStyle name="Normal 2 2 26 2 2 2 2 3 6" xfId="5537"/>
    <cellStyle name="Normal 2 2 26 2 2 2 2 3 7" xfId="5538"/>
    <cellStyle name="Normal 2 2 26 2 2 2 2 3 8" xfId="5539"/>
    <cellStyle name="Normal 2 2 26 2 2 2 2 3 9" xfId="5540"/>
    <cellStyle name="Normal 2 2 26 2 2 2 2 4" xfId="5541"/>
    <cellStyle name="Normal 2 2 26 2 2 2 2 4 2" xfId="5542"/>
    <cellStyle name="Normal 2 2 26 2 2 2 2 5" xfId="5543"/>
    <cellStyle name="Normal 2 2 26 2 2 2 2 6" xfId="5544"/>
    <cellStyle name="Normal 2 2 26 2 2 2 2 7" xfId="5545"/>
    <cellStyle name="Normal 2 2 26 2 2 2 2 8" xfId="5546"/>
    <cellStyle name="Normal 2 2 26 2 2 2 2 9" xfId="5547"/>
    <cellStyle name="Normal 2 2 26 2 2 2 3" xfId="5548"/>
    <cellStyle name="Normal 2 2 26 2 2 2 3 10" xfId="5549"/>
    <cellStyle name="Normal 2 2 26 2 2 2 3 11" xfId="5550"/>
    <cellStyle name="Normal 2 2 26 2 2 2 3 12" xfId="5551"/>
    <cellStyle name="Normal 2 2 26 2 2 2 3 2" xfId="5552"/>
    <cellStyle name="Normal 2 2 26 2 2 2 3 2 10" xfId="5553"/>
    <cellStyle name="Normal 2 2 26 2 2 2 3 2 11" xfId="5554"/>
    <cellStyle name="Normal 2 2 26 2 2 2 3 2 2" xfId="5555"/>
    <cellStyle name="Normal 2 2 26 2 2 2 3 2 2 10" xfId="5556"/>
    <cellStyle name="Normal 2 2 26 2 2 2 3 2 2 11" xfId="5557"/>
    <cellStyle name="Normal 2 2 26 2 2 2 3 2 2 2" xfId="5558"/>
    <cellStyle name="Normal 2 2 26 2 2 2 3 2 2 2 2" xfId="5559"/>
    <cellStyle name="Normal 2 2 26 2 2 2 3 2 2 3" xfId="5560"/>
    <cellStyle name="Normal 2 2 26 2 2 2 3 2 2 4" xfId="5561"/>
    <cellStyle name="Normal 2 2 26 2 2 2 3 2 2 5" xfId="5562"/>
    <cellStyle name="Normal 2 2 26 2 2 2 3 2 2 6" xfId="5563"/>
    <cellStyle name="Normal 2 2 26 2 2 2 3 2 2 7" xfId="5564"/>
    <cellStyle name="Normal 2 2 26 2 2 2 3 2 2 8" xfId="5565"/>
    <cellStyle name="Normal 2 2 26 2 2 2 3 2 2 9" xfId="5566"/>
    <cellStyle name="Normal 2 2 26 2 2 2 3 2 3" xfId="5567"/>
    <cellStyle name="Normal 2 2 26 2 2 2 3 2 3 2" xfId="5568"/>
    <cellStyle name="Normal 2 2 26 2 2 2 3 2 4" xfId="5569"/>
    <cellStyle name="Normal 2 2 26 2 2 2 3 2 5" xfId="5570"/>
    <cellStyle name="Normal 2 2 26 2 2 2 3 2 6" xfId="5571"/>
    <cellStyle name="Normal 2 2 26 2 2 2 3 2 7" xfId="5572"/>
    <cellStyle name="Normal 2 2 26 2 2 2 3 2 8" xfId="5573"/>
    <cellStyle name="Normal 2 2 26 2 2 2 3 2 9" xfId="5574"/>
    <cellStyle name="Normal 2 2 26 2 2 2 3 3" xfId="5575"/>
    <cellStyle name="Normal 2 2 26 2 2 2 3 3 2" xfId="5576"/>
    <cellStyle name="Normal 2 2 26 2 2 2 3 4" xfId="5577"/>
    <cellStyle name="Normal 2 2 26 2 2 2 3 5" xfId="5578"/>
    <cellStyle name="Normal 2 2 26 2 2 2 3 6" xfId="5579"/>
    <cellStyle name="Normal 2 2 26 2 2 2 3 7" xfId="5580"/>
    <cellStyle name="Normal 2 2 26 2 2 2 3 8" xfId="5581"/>
    <cellStyle name="Normal 2 2 26 2 2 2 3 9" xfId="5582"/>
    <cellStyle name="Normal 2 2 26 2 2 2 4" xfId="5583"/>
    <cellStyle name="Normal 2 2 26 2 2 2 4 10" xfId="5584"/>
    <cellStyle name="Normal 2 2 26 2 2 2 4 11" xfId="5585"/>
    <cellStyle name="Normal 2 2 26 2 2 2 4 2" xfId="5586"/>
    <cellStyle name="Normal 2 2 26 2 2 2 4 2 2" xfId="5587"/>
    <cellStyle name="Normal 2 2 26 2 2 2 4 3" xfId="5588"/>
    <cellStyle name="Normal 2 2 26 2 2 2 4 4" xfId="5589"/>
    <cellStyle name="Normal 2 2 26 2 2 2 4 5" xfId="5590"/>
    <cellStyle name="Normal 2 2 26 2 2 2 4 6" xfId="5591"/>
    <cellStyle name="Normal 2 2 26 2 2 2 4 7" xfId="5592"/>
    <cellStyle name="Normal 2 2 26 2 2 2 4 8" xfId="5593"/>
    <cellStyle name="Normal 2 2 26 2 2 2 4 9" xfId="5594"/>
    <cellStyle name="Normal 2 2 26 2 2 2 5" xfId="5595"/>
    <cellStyle name="Normal 2 2 26 2 2 2 5 2" xfId="5596"/>
    <cellStyle name="Normal 2 2 26 2 2 2 6" xfId="5597"/>
    <cellStyle name="Normal 2 2 26 2 2 2 7" xfId="5598"/>
    <cellStyle name="Normal 2 2 26 2 2 2 8" xfId="5599"/>
    <cellStyle name="Normal 2 2 26 2 2 2 9" xfId="5600"/>
    <cellStyle name="Normal 2 2 26 2 2 3" xfId="5601"/>
    <cellStyle name="Normal 2 2 26 2 2 3 10" xfId="5602"/>
    <cellStyle name="Normal 2 2 26 2 2 3 11" xfId="5603"/>
    <cellStyle name="Normal 2 2 26 2 2 3 12" xfId="5604"/>
    <cellStyle name="Normal 2 2 26 2 2 3 2" xfId="5605"/>
    <cellStyle name="Normal 2 2 26 2 2 3 2 10" xfId="5606"/>
    <cellStyle name="Normal 2 2 26 2 2 3 2 11" xfId="5607"/>
    <cellStyle name="Normal 2 2 26 2 2 3 2 12" xfId="5608"/>
    <cellStyle name="Normal 2 2 26 2 2 3 2 2" xfId="5609"/>
    <cellStyle name="Normal 2 2 26 2 2 3 2 2 10" xfId="5610"/>
    <cellStyle name="Normal 2 2 26 2 2 3 2 2 11" xfId="5611"/>
    <cellStyle name="Normal 2 2 26 2 2 3 2 2 2" xfId="5612"/>
    <cellStyle name="Normal 2 2 26 2 2 3 2 2 2 10" xfId="5613"/>
    <cellStyle name="Normal 2 2 26 2 2 3 2 2 2 11" xfId="5614"/>
    <cellStyle name="Normal 2 2 26 2 2 3 2 2 2 2" xfId="5615"/>
    <cellStyle name="Normal 2 2 26 2 2 3 2 2 2 2 2" xfId="5616"/>
    <cellStyle name="Normal 2 2 26 2 2 3 2 2 2 3" xfId="5617"/>
    <cellStyle name="Normal 2 2 26 2 2 3 2 2 2 4" xfId="5618"/>
    <cellStyle name="Normal 2 2 26 2 2 3 2 2 2 5" xfId="5619"/>
    <cellStyle name="Normal 2 2 26 2 2 3 2 2 2 6" xfId="5620"/>
    <cellStyle name="Normal 2 2 26 2 2 3 2 2 2 7" xfId="5621"/>
    <cellStyle name="Normal 2 2 26 2 2 3 2 2 2 8" xfId="5622"/>
    <cellStyle name="Normal 2 2 26 2 2 3 2 2 2 9" xfId="5623"/>
    <cellStyle name="Normal 2 2 26 2 2 3 2 2 3" xfId="5624"/>
    <cellStyle name="Normal 2 2 26 2 2 3 2 2 3 2" xfId="5625"/>
    <cellStyle name="Normal 2 2 26 2 2 3 2 2 4" xfId="5626"/>
    <cellStyle name="Normal 2 2 26 2 2 3 2 2 5" xfId="5627"/>
    <cellStyle name="Normal 2 2 26 2 2 3 2 2 6" xfId="5628"/>
    <cellStyle name="Normal 2 2 26 2 2 3 2 2 7" xfId="5629"/>
    <cellStyle name="Normal 2 2 26 2 2 3 2 2 8" xfId="5630"/>
    <cellStyle name="Normal 2 2 26 2 2 3 2 2 9" xfId="5631"/>
    <cellStyle name="Normal 2 2 26 2 2 3 2 3" xfId="5632"/>
    <cellStyle name="Normal 2 2 26 2 2 3 2 3 2" xfId="5633"/>
    <cellStyle name="Normal 2 2 26 2 2 3 2 4" xfId="5634"/>
    <cellStyle name="Normal 2 2 26 2 2 3 2 5" xfId="5635"/>
    <cellStyle name="Normal 2 2 26 2 2 3 2 6" xfId="5636"/>
    <cellStyle name="Normal 2 2 26 2 2 3 2 7" xfId="5637"/>
    <cellStyle name="Normal 2 2 26 2 2 3 2 8" xfId="5638"/>
    <cellStyle name="Normal 2 2 26 2 2 3 2 9" xfId="5639"/>
    <cellStyle name="Normal 2 2 26 2 2 3 3" xfId="5640"/>
    <cellStyle name="Normal 2 2 26 2 2 3 3 10" xfId="5641"/>
    <cellStyle name="Normal 2 2 26 2 2 3 3 11" xfId="5642"/>
    <cellStyle name="Normal 2 2 26 2 2 3 3 2" xfId="5643"/>
    <cellStyle name="Normal 2 2 26 2 2 3 3 2 2" xfId="5644"/>
    <cellStyle name="Normal 2 2 26 2 2 3 3 3" xfId="5645"/>
    <cellStyle name="Normal 2 2 26 2 2 3 3 4" xfId="5646"/>
    <cellStyle name="Normal 2 2 26 2 2 3 3 5" xfId="5647"/>
    <cellStyle name="Normal 2 2 26 2 2 3 3 6" xfId="5648"/>
    <cellStyle name="Normal 2 2 26 2 2 3 3 7" xfId="5649"/>
    <cellStyle name="Normal 2 2 26 2 2 3 3 8" xfId="5650"/>
    <cellStyle name="Normal 2 2 26 2 2 3 3 9" xfId="5651"/>
    <cellStyle name="Normal 2 2 26 2 2 3 4" xfId="5652"/>
    <cellStyle name="Normal 2 2 26 2 2 3 4 2" xfId="5653"/>
    <cellStyle name="Normal 2 2 26 2 2 3 5" xfId="5654"/>
    <cellStyle name="Normal 2 2 26 2 2 3 6" xfId="5655"/>
    <cellStyle name="Normal 2 2 26 2 2 3 7" xfId="5656"/>
    <cellStyle name="Normal 2 2 26 2 2 3 8" xfId="5657"/>
    <cellStyle name="Normal 2 2 26 2 2 3 9" xfId="5658"/>
    <cellStyle name="Normal 2 2 26 2 2 4" xfId="5659"/>
    <cellStyle name="Normal 2 2 26 2 2 4 10" xfId="5660"/>
    <cellStyle name="Normal 2 2 26 2 2 4 11" xfId="5661"/>
    <cellStyle name="Normal 2 2 26 2 2 4 2" xfId="5662"/>
    <cellStyle name="Normal 2 2 26 2 2 4 2 10" xfId="5663"/>
    <cellStyle name="Normal 2 2 26 2 2 4 2 11" xfId="5664"/>
    <cellStyle name="Normal 2 2 26 2 2 4 2 2" xfId="5665"/>
    <cellStyle name="Normal 2 2 26 2 2 4 2 2 2" xfId="5666"/>
    <cellStyle name="Normal 2 2 26 2 2 4 2 3" xfId="5667"/>
    <cellStyle name="Normal 2 2 26 2 2 4 2 4" xfId="5668"/>
    <cellStyle name="Normal 2 2 26 2 2 4 2 5" xfId="5669"/>
    <cellStyle name="Normal 2 2 26 2 2 4 2 6" xfId="5670"/>
    <cellStyle name="Normal 2 2 26 2 2 4 2 7" xfId="5671"/>
    <cellStyle name="Normal 2 2 26 2 2 4 2 8" xfId="5672"/>
    <cellStyle name="Normal 2 2 26 2 2 4 2 9" xfId="5673"/>
    <cellStyle name="Normal 2 2 26 2 2 4 3" xfId="5674"/>
    <cellStyle name="Normal 2 2 26 2 2 4 3 2" xfId="5675"/>
    <cellStyle name="Normal 2 2 26 2 2 4 4" xfId="5676"/>
    <cellStyle name="Normal 2 2 26 2 2 4 5" xfId="5677"/>
    <cellStyle name="Normal 2 2 26 2 2 4 6" xfId="5678"/>
    <cellStyle name="Normal 2 2 26 2 2 4 7" xfId="5679"/>
    <cellStyle name="Normal 2 2 26 2 2 4 8" xfId="5680"/>
    <cellStyle name="Normal 2 2 26 2 2 4 9" xfId="5681"/>
    <cellStyle name="Normal 2 2 26 2 2 5" xfId="5682"/>
    <cellStyle name="Normal 2 2 26 2 2 5 2" xfId="5683"/>
    <cellStyle name="Normal 2 2 26 2 2 6" xfId="5684"/>
    <cellStyle name="Normal 2 2 26 2 2 7" xfId="5685"/>
    <cellStyle name="Normal 2 2 26 2 2 8" xfId="5686"/>
    <cellStyle name="Normal 2 2 26 2 2 9" xfId="5687"/>
    <cellStyle name="Normal 2 2 26 2 3" xfId="5688"/>
    <cellStyle name="Normal 2 2 26 2 3 10" xfId="5689"/>
    <cellStyle name="Normal 2 2 26 2 3 11" xfId="5690"/>
    <cellStyle name="Normal 2 2 26 2 3 12" xfId="5691"/>
    <cellStyle name="Normal 2 2 26 2 3 13" xfId="5692"/>
    <cellStyle name="Normal 2 2 26 2 3 2" xfId="5693"/>
    <cellStyle name="Normal 2 2 26 2 3 2 10" xfId="5694"/>
    <cellStyle name="Normal 2 2 26 2 3 2 11" xfId="5695"/>
    <cellStyle name="Normal 2 2 26 2 3 2 12" xfId="5696"/>
    <cellStyle name="Normal 2 2 26 2 3 2 2" xfId="5697"/>
    <cellStyle name="Normal 2 2 26 2 3 2 2 10" xfId="5698"/>
    <cellStyle name="Normal 2 2 26 2 3 2 2 11" xfId="5699"/>
    <cellStyle name="Normal 2 2 26 2 3 2 2 12" xfId="5700"/>
    <cellStyle name="Normal 2 2 26 2 3 2 2 2" xfId="5701"/>
    <cellStyle name="Normal 2 2 26 2 3 2 2 2 10" xfId="5702"/>
    <cellStyle name="Normal 2 2 26 2 3 2 2 2 11" xfId="5703"/>
    <cellStyle name="Normal 2 2 26 2 3 2 2 2 2" xfId="5704"/>
    <cellStyle name="Normal 2 2 26 2 3 2 2 2 2 10" xfId="5705"/>
    <cellStyle name="Normal 2 2 26 2 3 2 2 2 2 11" xfId="5706"/>
    <cellStyle name="Normal 2 2 26 2 3 2 2 2 2 2" xfId="5707"/>
    <cellStyle name="Normal 2 2 26 2 3 2 2 2 2 2 2" xfId="5708"/>
    <cellStyle name="Normal 2 2 26 2 3 2 2 2 2 3" xfId="5709"/>
    <cellStyle name="Normal 2 2 26 2 3 2 2 2 2 4" xfId="5710"/>
    <cellStyle name="Normal 2 2 26 2 3 2 2 2 2 5" xfId="5711"/>
    <cellStyle name="Normal 2 2 26 2 3 2 2 2 2 6" xfId="5712"/>
    <cellStyle name="Normal 2 2 26 2 3 2 2 2 2 7" xfId="5713"/>
    <cellStyle name="Normal 2 2 26 2 3 2 2 2 2 8" xfId="5714"/>
    <cellStyle name="Normal 2 2 26 2 3 2 2 2 2 9" xfId="5715"/>
    <cellStyle name="Normal 2 2 26 2 3 2 2 2 3" xfId="5716"/>
    <cellStyle name="Normal 2 2 26 2 3 2 2 2 3 2" xfId="5717"/>
    <cellStyle name="Normal 2 2 26 2 3 2 2 2 4" xfId="5718"/>
    <cellStyle name="Normal 2 2 26 2 3 2 2 2 5" xfId="5719"/>
    <cellStyle name="Normal 2 2 26 2 3 2 2 2 6" xfId="5720"/>
    <cellStyle name="Normal 2 2 26 2 3 2 2 2 7" xfId="5721"/>
    <cellStyle name="Normal 2 2 26 2 3 2 2 2 8" xfId="5722"/>
    <cellStyle name="Normal 2 2 26 2 3 2 2 2 9" xfId="5723"/>
    <cellStyle name="Normal 2 2 26 2 3 2 2 3" xfId="5724"/>
    <cellStyle name="Normal 2 2 26 2 3 2 2 3 2" xfId="5725"/>
    <cellStyle name="Normal 2 2 26 2 3 2 2 4" xfId="5726"/>
    <cellStyle name="Normal 2 2 26 2 3 2 2 5" xfId="5727"/>
    <cellStyle name="Normal 2 2 26 2 3 2 2 6" xfId="5728"/>
    <cellStyle name="Normal 2 2 26 2 3 2 2 7" xfId="5729"/>
    <cellStyle name="Normal 2 2 26 2 3 2 2 8" xfId="5730"/>
    <cellStyle name="Normal 2 2 26 2 3 2 2 9" xfId="5731"/>
    <cellStyle name="Normal 2 2 26 2 3 2 3" xfId="5732"/>
    <cellStyle name="Normal 2 2 26 2 3 2 3 10" xfId="5733"/>
    <cellStyle name="Normal 2 2 26 2 3 2 3 11" xfId="5734"/>
    <cellStyle name="Normal 2 2 26 2 3 2 3 2" xfId="5735"/>
    <cellStyle name="Normal 2 2 26 2 3 2 3 2 2" xfId="5736"/>
    <cellStyle name="Normal 2 2 26 2 3 2 3 3" xfId="5737"/>
    <cellStyle name="Normal 2 2 26 2 3 2 3 4" xfId="5738"/>
    <cellStyle name="Normal 2 2 26 2 3 2 3 5" xfId="5739"/>
    <cellStyle name="Normal 2 2 26 2 3 2 3 6" xfId="5740"/>
    <cellStyle name="Normal 2 2 26 2 3 2 3 7" xfId="5741"/>
    <cellStyle name="Normal 2 2 26 2 3 2 3 8" xfId="5742"/>
    <cellStyle name="Normal 2 2 26 2 3 2 3 9" xfId="5743"/>
    <cellStyle name="Normal 2 2 26 2 3 2 4" xfId="5744"/>
    <cellStyle name="Normal 2 2 26 2 3 2 4 2" xfId="5745"/>
    <cellStyle name="Normal 2 2 26 2 3 2 5" xfId="5746"/>
    <cellStyle name="Normal 2 2 26 2 3 2 6" xfId="5747"/>
    <cellStyle name="Normal 2 2 26 2 3 2 7" xfId="5748"/>
    <cellStyle name="Normal 2 2 26 2 3 2 8" xfId="5749"/>
    <cellStyle name="Normal 2 2 26 2 3 2 9" xfId="5750"/>
    <cellStyle name="Normal 2 2 26 2 3 3" xfId="5751"/>
    <cellStyle name="Normal 2 2 26 2 3 3 10" xfId="5752"/>
    <cellStyle name="Normal 2 2 26 2 3 3 11" xfId="5753"/>
    <cellStyle name="Normal 2 2 26 2 3 3 2" xfId="5754"/>
    <cellStyle name="Normal 2 2 26 2 3 3 2 10" xfId="5755"/>
    <cellStyle name="Normal 2 2 26 2 3 3 2 11" xfId="5756"/>
    <cellStyle name="Normal 2 2 26 2 3 3 2 2" xfId="5757"/>
    <cellStyle name="Normal 2 2 26 2 3 3 2 2 2" xfId="5758"/>
    <cellStyle name="Normal 2 2 26 2 3 3 2 3" xfId="5759"/>
    <cellStyle name="Normal 2 2 26 2 3 3 2 4" xfId="5760"/>
    <cellStyle name="Normal 2 2 26 2 3 3 2 5" xfId="5761"/>
    <cellStyle name="Normal 2 2 26 2 3 3 2 6" xfId="5762"/>
    <cellStyle name="Normal 2 2 26 2 3 3 2 7" xfId="5763"/>
    <cellStyle name="Normal 2 2 26 2 3 3 2 8" xfId="5764"/>
    <cellStyle name="Normal 2 2 26 2 3 3 2 9" xfId="5765"/>
    <cellStyle name="Normal 2 2 26 2 3 3 3" xfId="5766"/>
    <cellStyle name="Normal 2 2 26 2 3 3 3 2" xfId="5767"/>
    <cellStyle name="Normal 2 2 26 2 3 3 4" xfId="5768"/>
    <cellStyle name="Normal 2 2 26 2 3 3 5" xfId="5769"/>
    <cellStyle name="Normal 2 2 26 2 3 3 6" xfId="5770"/>
    <cellStyle name="Normal 2 2 26 2 3 3 7" xfId="5771"/>
    <cellStyle name="Normal 2 2 26 2 3 3 8" xfId="5772"/>
    <cellStyle name="Normal 2 2 26 2 3 3 9" xfId="5773"/>
    <cellStyle name="Normal 2 2 26 2 3 4" xfId="5774"/>
    <cellStyle name="Normal 2 2 26 2 3 4 2" xfId="5775"/>
    <cellStyle name="Normal 2 2 26 2 3 5" xfId="5776"/>
    <cellStyle name="Normal 2 2 26 2 3 6" xfId="5777"/>
    <cellStyle name="Normal 2 2 26 2 3 7" xfId="5778"/>
    <cellStyle name="Normal 2 2 26 2 3 8" xfId="5779"/>
    <cellStyle name="Normal 2 2 26 2 3 9" xfId="5780"/>
    <cellStyle name="Normal 2 2 26 2 4" xfId="5781"/>
    <cellStyle name="Normal 2 2 26 2 4 10" xfId="5782"/>
    <cellStyle name="Normal 2 2 26 2 4 11" xfId="5783"/>
    <cellStyle name="Normal 2 2 26 2 4 12" xfId="5784"/>
    <cellStyle name="Normal 2 2 26 2 4 2" xfId="5785"/>
    <cellStyle name="Normal 2 2 26 2 4 2 10" xfId="5786"/>
    <cellStyle name="Normal 2 2 26 2 4 2 11" xfId="5787"/>
    <cellStyle name="Normal 2 2 26 2 4 2 2" xfId="5788"/>
    <cellStyle name="Normal 2 2 26 2 4 2 2 10" xfId="5789"/>
    <cellStyle name="Normal 2 2 26 2 4 2 2 11" xfId="5790"/>
    <cellStyle name="Normal 2 2 26 2 4 2 2 2" xfId="5791"/>
    <cellStyle name="Normal 2 2 26 2 4 2 2 2 2" xfId="5792"/>
    <cellStyle name="Normal 2 2 26 2 4 2 2 3" xfId="5793"/>
    <cellStyle name="Normal 2 2 26 2 4 2 2 4" xfId="5794"/>
    <cellStyle name="Normal 2 2 26 2 4 2 2 5" xfId="5795"/>
    <cellStyle name="Normal 2 2 26 2 4 2 2 6" xfId="5796"/>
    <cellStyle name="Normal 2 2 26 2 4 2 2 7" xfId="5797"/>
    <cellStyle name="Normal 2 2 26 2 4 2 2 8" xfId="5798"/>
    <cellStyle name="Normal 2 2 26 2 4 2 2 9" xfId="5799"/>
    <cellStyle name="Normal 2 2 26 2 4 2 3" xfId="5800"/>
    <cellStyle name="Normal 2 2 26 2 4 2 3 2" xfId="5801"/>
    <cellStyle name="Normal 2 2 26 2 4 2 4" xfId="5802"/>
    <cellStyle name="Normal 2 2 26 2 4 2 5" xfId="5803"/>
    <cellStyle name="Normal 2 2 26 2 4 2 6" xfId="5804"/>
    <cellStyle name="Normal 2 2 26 2 4 2 7" xfId="5805"/>
    <cellStyle name="Normal 2 2 26 2 4 2 8" xfId="5806"/>
    <cellStyle name="Normal 2 2 26 2 4 2 9" xfId="5807"/>
    <cellStyle name="Normal 2 2 26 2 4 3" xfId="5808"/>
    <cellStyle name="Normal 2 2 26 2 4 3 2" xfId="5809"/>
    <cellStyle name="Normal 2 2 26 2 4 4" xfId="5810"/>
    <cellStyle name="Normal 2 2 26 2 4 5" xfId="5811"/>
    <cellStyle name="Normal 2 2 26 2 4 6" xfId="5812"/>
    <cellStyle name="Normal 2 2 26 2 4 7" xfId="5813"/>
    <cellStyle name="Normal 2 2 26 2 4 8" xfId="5814"/>
    <cellStyle name="Normal 2 2 26 2 4 9" xfId="5815"/>
    <cellStyle name="Normal 2 2 26 2 5" xfId="5816"/>
    <cellStyle name="Normal 2 2 26 2 5 10" xfId="5817"/>
    <cellStyle name="Normal 2 2 26 2 5 11" xfId="5818"/>
    <cellStyle name="Normal 2 2 26 2 5 2" xfId="5819"/>
    <cellStyle name="Normal 2 2 26 2 5 2 2" xfId="5820"/>
    <cellStyle name="Normal 2 2 26 2 5 3" xfId="5821"/>
    <cellStyle name="Normal 2 2 26 2 5 4" xfId="5822"/>
    <cellStyle name="Normal 2 2 26 2 5 5" xfId="5823"/>
    <cellStyle name="Normal 2 2 26 2 5 6" xfId="5824"/>
    <cellStyle name="Normal 2 2 26 2 5 7" xfId="5825"/>
    <cellStyle name="Normal 2 2 26 2 5 8" xfId="5826"/>
    <cellStyle name="Normal 2 2 26 2 5 9" xfId="5827"/>
    <cellStyle name="Normal 2 2 26 2 6" xfId="5828"/>
    <cellStyle name="Normal 2 2 26 2 6 2" xfId="5829"/>
    <cellStyle name="Normal 2 2 26 2 7" xfId="5830"/>
    <cellStyle name="Normal 2 2 26 2 8" xfId="5831"/>
    <cellStyle name="Normal 2 2 26 2 9" xfId="5832"/>
    <cellStyle name="Normal 2 2 26 3" xfId="5833"/>
    <cellStyle name="Normal 2 2 26 3 10" xfId="5834"/>
    <cellStyle name="Normal 2 2 26 3 11" xfId="5835"/>
    <cellStyle name="Normal 2 2 26 3 12" xfId="5836"/>
    <cellStyle name="Normal 2 2 26 3 13" xfId="5837"/>
    <cellStyle name="Normal 2 2 26 3 2" xfId="5838"/>
    <cellStyle name="Normal 2 2 26 3 2 10" xfId="5839"/>
    <cellStyle name="Normal 2 2 26 3 2 11" xfId="5840"/>
    <cellStyle name="Normal 2 2 26 3 2 12" xfId="5841"/>
    <cellStyle name="Normal 2 2 26 3 2 13" xfId="5842"/>
    <cellStyle name="Normal 2 2 26 3 2 2" xfId="5843"/>
    <cellStyle name="Normal 2 2 26 3 2 2 10" xfId="5844"/>
    <cellStyle name="Normal 2 2 26 3 2 2 11" xfId="5845"/>
    <cellStyle name="Normal 2 2 26 3 2 2 12" xfId="5846"/>
    <cellStyle name="Normal 2 2 26 3 2 2 2" xfId="5847"/>
    <cellStyle name="Normal 2 2 26 3 2 2 2 10" xfId="5848"/>
    <cellStyle name="Normal 2 2 26 3 2 2 2 11" xfId="5849"/>
    <cellStyle name="Normal 2 2 26 3 2 2 2 12" xfId="5850"/>
    <cellStyle name="Normal 2 2 26 3 2 2 2 2" xfId="5851"/>
    <cellStyle name="Normal 2 2 26 3 2 2 2 2 10" xfId="5852"/>
    <cellStyle name="Normal 2 2 26 3 2 2 2 2 11" xfId="5853"/>
    <cellStyle name="Normal 2 2 26 3 2 2 2 2 2" xfId="5854"/>
    <cellStyle name="Normal 2 2 26 3 2 2 2 2 2 10" xfId="5855"/>
    <cellStyle name="Normal 2 2 26 3 2 2 2 2 2 11" xfId="5856"/>
    <cellStyle name="Normal 2 2 26 3 2 2 2 2 2 2" xfId="5857"/>
    <cellStyle name="Normal 2 2 26 3 2 2 2 2 2 2 2" xfId="5858"/>
    <cellStyle name="Normal 2 2 26 3 2 2 2 2 2 3" xfId="5859"/>
    <cellStyle name="Normal 2 2 26 3 2 2 2 2 2 4" xfId="5860"/>
    <cellStyle name="Normal 2 2 26 3 2 2 2 2 2 5" xfId="5861"/>
    <cellStyle name="Normal 2 2 26 3 2 2 2 2 2 6" xfId="5862"/>
    <cellStyle name="Normal 2 2 26 3 2 2 2 2 2 7" xfId="5863"/>
    <cellStyle name="Normal 2 2 26 3 2 2 2 2 2 8" xfId="5864"/>
    <cellStyle name="Normal 2 2 26 3 2 2 2 2 2 9" xfId="5865"/>
    <cellStyle name="Normal 2 2 26 3 2 2 2 2 3" xfId="5866"/>
    <cellStyle name="Normal 2 2 26 3 2 2 2 2 3 2" xfId="5867"/>
    <cellStyle name="Normal 2 2 26 3 2 2 2 2 4" xfId="5868"/>
    <cellStyle name="Normal 2 2 26 3 2 2 2 2 5" xfId="5869"/>
    <cellStyle name="Normal 2 2 26 3 2 2 2 2 6" xfId="5870"/>
    <cellStyle name="Normal 2 2 26 3 2 2 2 2 7" xfId="5871"/>
    <cellStyle name="Normal 2 2 26 3 2 2 2 2 8" xfId="5872"/>
    <cellStyle name="Normal 2 2 26 3 2 2 2 2 9" xfId="5873"/>
    <cellStyle name="Normal 2 2 26 3 2 2 2 3" xfId="5874"/>
    <cellStyle name="Normal 2 2 26 3 2 2 2 3 2" xfId="5875"/>
    <cellStyle name="Normal 2 2 26 3 2 2 2 4" xfId="5876"/>
    <cellStyle name="Normal 2 2 26 3 2 2 2 5" xfId="5877"/>
    <cellStyle name="Normal 2 2 26 3 2 2 2 6" xfId="5878"/>
    <cellStyle name="Normal 2 2 26 3 2 2 2 7" xfId="5879"/>
    <cellStyle name="Normal 2 2 26 3 2 2 2 8" xfId="5880"/>
    <cellStyle name="Normal 2 2 26 3 2 2 2 9" xfId="5881"/>
    <cellStyle name="Normal 2 2 26 3 2 2 3" xfId="5882"/>
    <cellStyle name="Normal 2 2 26 3 2 2 3 10" xfId="5883"/>
    <cellStyle name="Normal 2 2 26 3 2 2 3 11" xfId="5884"/>
    <cellStyle name="Normal 2 2 26 3 2 2 3 2" xfId="5885"/>
    <cellStyle name="Normal 2 2 26 3 2 2 3 2 2" xfId="5886"/>
    <cellStyle name="Normal 2 2 26 3 2 2 3 3" xfId="5887"/>
    <cellStyle name="Normal 2 2 26 3 2 2 3 4" xfId="5888"/>
    <cellStyle name="Normal 2 2 26 3 2 2 3 5" xfId="5889"/>
    <cellStyle name="Normal 2 2 26 3 2 2 3 6" xfId="5890"/>
    <cellStyle name="Normal 2 2 26 3 2 2 3 7" xfId="5891"/>
    <cellStyle name="Normal 2 2 26 3 2 2 3 8" xfId="5892"/>
    <cellStyle name="Normal 2 2 26 3 2 2 3 9" xfId="5893"/>
    <cellStyle name="Normal 2 2 26 3 2 2 4" xfId="5894"/>
    <cellStyle name="Normal 2 2 26 3 2 2 4 2" xfId="5895"/>
    <cellStyle name="Normal 2 2 26 3 2 2 5" xfId="5896"/>
    <cellStyle name="Normal 2 2 26 3 2 2 6" xfId="5897"/>
    <cellStyle name="Normal 2 2 26 3 2 2 7" xfId="5898"/>
    <cellStyle name="Normal 2 2 26 3 2 2 8" xfId="5899"/>
    <cellStyle name="Normal 2 2 26 3 2 2 9" xfId="5900"/>
    <cellStyle name="Normal 2 2 26 3 2 3" xfId="5901"/>
    <cellStyle name="Normal 2 2 26 3 2 3 10" xfId="5902"/>
    <cellStyle name="Normal 2 2 26 3 2 3 11" xfId="5903"/>
    <cellStyle name="Normal 2 2 26 3 2 3 2" xfId="5904"/>
    <cellStyle name="Normal 2 2 26 3 2 3 2 10" xfId="5905"/>
    <cellStyle name="Normal 2 2 26 3 2 3 2 11" xfId="5906"/>
    <cellStyle name="Normal 2 2 26 3 2 3 2 2" xfId="5907"/>
    <cellStyle name="Normal 2 2 26 3 2 3 2 2 2" xfId="5908"/>
    <cellStyle name="Normal 2 2 26 3 2 3 2 3" xfId="5909"/>
    <cellStyle name="Normal 2 2 26 3 2 3 2 4" xfId="5910"/>
    <cellStyle name="Normal 2 2 26 3 2 3 2 5" xfId="5911"/>
    <cellStyle name="Normal 2 2 26 3 2 3 2 6" xfId="5912"/>
    <cellStyle name="Normal 2 2 26 3 2 3 2 7" xfId="5913"/>
    <cellStyle name="Normal 2 2 26 3 2 3 2 8" xfId="5914"/>
    <cellStyle name="Normal 2 2 26 3 2 3 2 9" xfId="5915"/>
    <cellStyle name="Normal 2 2 26 3 2 3 3" xfId="5916"/>
    <cellStyle name="Normal 2 2 26 3 2 3 3 2" xfId="5917"/>
    <cellStyle name="Normal 2 2 26 3 2 3 4" xfId="5918"/>
    <cellStyle name="Normal 2 2 26 3 2 3 5" xfId="5919"/>
    <cellStyle name="Normal 2 2 26 3 2 3 6" xfId="5920"/>
    <cellStyle name="Normal 2 2 26 3 2 3 7" xfId="5921"/>
    <cellStyle name="Normal 2 2 26 3 2 3 8" xfId="5922"/>
    <cellStyle name="Normal 2 2 26 3 2 3 9" xfId="5923"/>
    <cellStyle name="Normal 2 2 26 3 2 4" xfId="5924"/>
    <cellStyle name="Normal 2 2 26 3 2 4 2" xfId="5925"/>
    <cellStyle name="Normal 2 2 26 3 2 5" xfId="5926"/>
    <cellStyle name="Normal 2 2 26 3 2 6" xfId="5927"/>
    <cellStyle name="Normal 2 2 26 3 2 7" xfId="5928"/>
    <cellStyle name="Normal 2 2 26 3 2 8" xfId="5929"/>
    <cellStyle name="Normal 2 2 26 3 2 9" xfId="5930"/>
    <cellStyle name="Normal 2 2 26 3 3" xfId="5931"/>
    <cellStyle name="Normal 2 2 26 3 3 10" xfId="5932"/>
    <cellStyle name="Normal 2 2 26 3 3 11" xfId="5933"/>
    <cellStyle name="Normal 2 2 26 3 3 12" xfId="5934"/>
    <cellStyle name="Normal 2 2 26 3 3 2" xfId="5935"/>
    <cellStyle name="Normal 2 2 26 3 3 2 10" xfId="5936"/>
    <cellStyle name="Normal 2 2 26 3 3 2 11" xfId="5937"/>
    <cellStyle name="Normal 2 2 26 3 3 2 2" xfId="5938"/>
    <cellStyle name="Normal 2 2 26 3 3 2 2 10" xfId="5939"/>
    <cellStyle name="Normal 2 2 26 3 3 2 2 11" xfId="5940"/>
    <cellStyle name="Normal 2 2 26 3 3 2 2 2" xfId="5941"/>
    <cellStyle name="Normal 2 2 26 3 3 2 2 2 2" xfId="5942"/>
    <cellStyle name="Normal 2 2 26 3 3 2 2 3" xfId="5943"/>
    <cellStyle name="Normal 2 2 26 3 3 2 2 4" xfId="5944"/>
    <cellStyle name="Normal 2 2 26 3 3 2 2 5" xfId="5945"/>
    <cellStyle name="Normal 2 2 26 3 3 2 2 6" xfId="5946"/>
    <cellStyle name="Normal 2 2 26 3 3 2 2 7" xfId="5947"/>
    <cellStyle name="Normal 2 2 26 3 3 2 2 8" xfId="5948"/>
    <cellStyle name="Normal 2 2 26 3 3 2 2 9" xfId="5949"/>
    <cellStyle name="Normal 2 2 26 3 3 2 3" xfId="5950"/>
    <cellStyle name="Normal 2 2 26 3 3 2 3 2" xfId="5951"/>
    <cellStyle name="Normal 2 2 26 3 3 2 4" xfId="5952"/>
    <cellStyle name="Normal 2 2 26 3 3 2 5" xfId="5953"/>
    <cellStyle name="Normal 2 2 26 3 3 2 6" xfId="5954"/>
    <cellStyle name="Normal 2 2 26 3 3 2 7" xfId="5955"/>
    <cellStyle name="Normal 2 2 26 3 3 2 8" xfId="5956"/>
    <cellStyle name="Normal 2 2 26 3 3 2 9" xfId="5957"/>
    <cellStyle name="Normal 2 2 26 3 3 3" xfId="5958"/>
    <cellStyle name="Normal 2 2 26 3 3 3 2" xfId="5959"/>
    <cellStyle name="Normal 2 2 26 3 3 4" xfId="5960"/>
    <cellStyle name="Normal 2 2 26 3 3 5" xfId="5961"/>
    <cellStyle name="Normal 2 2 26 3 3 6" xfId="5962"/>
    <cellStyle name="Normal 2 2 26 3 3 7" xfId="5963"/>
    <cellStyle name="Normal 2 2 26 3 3 8" xfId="5964"/>
    <cellStyle name="Normal 2 2 26 3 3 9" xfId="5965"/>
    <cellStyle name="Normal 2 2 26 3 4" xfId="5966"/>
    <cellStyle name="Normal 2 2 26 3 4 10" xfId="5967"/>
    <cellStyle name="Normal 2 2 26 3 4 11" xfId="5968"/>
    <cellStyle name="Normal 2 2 26 3 4 2" xfId="5969"/>
    <cellStyle name="Normal 2 2 26 3 4 2 2" xfId="5970"/>
    <cellStyle name="Normal 2 2 26 3 4 3" xfId="5971"/>
    <cellStyle name="Normal 2 2 26 3 4 4" xfId="5972"/>
    <cellStyle name="Normal 2 2 26 3 4 5" xfId="5973"/>
    <cellStyle name="Normal 2 2 26 3 4 6" xfId="5974"/>
    <cellStyle name="Normal 2 2 26 3 4 7" xfId="5975"/>
    <cellStyle name="Normal 2 2 26 3 4 8" xfId="5976"/>
    <cellStyle name="Normal 2 2 26 3 4 9" xfId="5977"/>
    <cellStyle name="Normal 2 2 26 3 5" xfId="5978"/>
    <cellStyle name="Normal 2 2 26 3 5 2" xfId="5979"/>
    <cellStyle name="Normal 2 2 26 3 6" xfId="5980"/>
    <cellStyle name="Normal 2 2 26 3 7" xfId="5981"/>
    <cellStyle name="Normal 2 2 26 3 8" xfId="5982"/>
    <cellStyle name="Normal 2 2 26 3 9" xfId="5983"/>
    <cellStyle name="Normal 2 2 26 4" xfId="5984"/>
    <cellStyle name="Normal 2 2 26 4 10" xfId="5985"/>
    <cellStyle name="Normal 2 2 26 4 11" xfId="5986"/>
    <cellStyle name="Normal 2 2 26 4 12" xfId="5987"/>
    <cellStyle name="Normal 2 2 26 4 2" xfId="5988"/>
    <cellStyle name="Normal 2 2 26 4 2 10" xfId="5989"/>
    <cellStyle name="Normal 2 2 26 4 2 11" xfId="5990"/>
    <cellStyle name="Normal 2 2 26 4 2 12" xfId="5991"/>
    <cellStyle name="Normal 2 2 26 4 2 2" xfId="5992"/>
    <cellStyle name="Normal 2 2 26 4 2 2 10" xfId="5993"/>
    <cellStyle name="Normal 2 2 26 4 2 2 11" xfId="5994"/>
    <cellStyle name="Normal 2 2 26 4 2 2 2" xfId="5995"/>
    <cellStyle name="Normal 2 2 26 4 2 2 2 10" xfId="5996"/>
    <cellStyle name="Normal 2 2 26 4 2 2 2 11" xfId="5997"/>
    <cellStyle name="Normal 2 2 26 4 2 2 2 2" xfId="5998"/>
    <cellStyle name="Normal 2 2 26 4 2 2 2 2 2" xfId="5999"/>
    <cellStyle name="Normal 2 2 26 4 2 2 2 3" xfId="6000"/>
    <cellStyle name="Normal 2 2 26 4 2 2 2 4" xfId="6001"/>
    <cellStyle name="Normal 2 2 26 4 2 2 2 5" xfId="6002"/>
    <cellStyle name="Normal 2 2 26 4 2 2 2 6" xfId="6003"/>
    <cellStyle name="Normal 2 2 26 4 2 2 2 7" xfId="6004"/>
    <cellStyle name="Normal 2 2 26 4 2 2 2 8" xfId="6005"/>
    <cellStyle name="Normal 2 2 26 4 2 2 2 9" xfId="6006"/>
    <cellStyle name="Normal 2 2 26 4 2 2 3" xfId="6007"/>
    <cellStyle name="Normal 2 2 26 4 2 2 3 2" xfId="6008"/>
    <cellStyle name="Normal 2 2 26 4 2 2 4" xfId="6009"/>
    <cellStyle name="Normal 2 2 26 4 2 2 5" xfId="6010"/>
    <cellStyle name="Normal 2 2 26 4 2 2 6" xfId="6011"/>
    <cellStyle name="Normal 2 2 26 4 2 2 7" xfId="6012"/>
    <cellStyle name="Normal 2 2 26 4 2 2 8" xfId="6013"/>
    <cellStyle name="Normal 2 2 26 4 2 2 9" xfId="6014"/>
    <cellStyle name="Normal 2 2 26 4 2 3" xfId="6015"/>
    <cellStyle name="Normal 2 2 26 4 2 3 2" xfId="6016"/>
    <cellStyle name="Normal 2 2 26 4 2 4" xfId="6017"/>
    <cellStyle name="Normal 2 2 26 4 2 5" xfId="6018"/>
    <cellStyle name="Normal 2 2 26 4 2 6" xfId="6019"/>
    <cellStyle name="Normal 2 2 26 4 2 7" xfId="6020"/>
    <cellStyle name="Normal 2 2 26 4 2 8" xfId="6021"/>
    <cellStyle name="Normal 2 2 26 4 2 9" xfId="6022"/>
    <cellStyle name="Normal 2 2 26 4 3" xfId="6023"/>
    <cellStyle name="Normal 2 2 26 4 3 10" xfId="6024"/>
    <cellStyle name="Normal 2 2 26 4 3 11" xfId="6025"/>
    <cellStyle name="Normal 2 2 26 4 3 2" xfId="6026"/>
    <cellStyle name="Normal 2 2 26 4 3 2 2" xfId="6027"/>
    <cellStyle name="Normal 2 2 26 4 3 3" xfId="6028"/>
    <cellStyle name="Normal 2 2 26 4 3 4" xfId="6029"/>
    <cellStyle name="Normal 2 2 26 4 3 5" xfId="6030"/>
    <cellStyle name="Normal 2 2 26 4 3 6" xfId="6031"/>
    <cellStyle name="Normal 2 2 26 4 3 7" xfId="6032"/>
    <cellStyle name="Normal 2 2 26 4 3 8" xfId="6033"/>
    <cellStyle name="Normal 2 2 26 4 3 9" xfId="6034"/>
    <cellStyle name="Normal 2 2 26 4 4" xfId="6035"/>
    <cellStyle name="Normal 2 2 26 4 4 2" xfId="6036"/>
    <cellStyle name="Normal 2 2 26 4 5" xfId="6037"/>
    <cellStyle name="Normal 2 2 26 4 6" xfId="6038"/>
    <cellStyle name="Normal 2 2 26 4 7" xfId="6039"/>
    <cellStyle name="Normal 2 2 26 4 8" xfId="6040"/>
    <cellStyle name="Normal 2 2 26 4 9" xfId="6041"/>
    <cellStyle name="Normal 2 2 26 5" xfId="6042"/>
    <cellStyle name="Normal 2 2 26 5 10" xfId="6043"/>
    <cellStyle name="Normal 2 2 26 5 11" xfId="6044"/>
    <cellStyle name="Normal 2 2 26 5 2" xfId="6045"/>
    <cellStyle name="Normal 2 2 26 5 2 10" xfId="6046"/>
    <cellStyle name="Normal 2 2 26 5 2 11" xfId="6047"/>
    <cellStyle name="Normal 2 2 26 5 2 2" xfId="6048"/>
    <cellStyle name="Normal 2 2 26 5 2 2 2" xfId="6049"/>
    <cellStyle name="Normal 2 2 26 5 2 3" xfId="6050"/>
    <cellStyle name="Normal 2 2 26 5 2 4" xfId="6051"/>
    <cellStyle name="Normal 2 2 26 5 2 5" xfId="6052"/>
    <cellStyle name="Normal 2 2 26 5 2 6" xfId="6053"/>
    <cellStyle name="Normal 2 2 26 5 2 7" xfId="6054"/>
    <cellStyle name="Normal 2 2 26 5 2 8" xfId="6055"/>
    <cellStyle name="Normal 2 2 26 5 2 9" xfId="6056"/>
    <cellStyle name="Normal 2 2 26 5 3" xfId="6057"/>
    <cellStyle name="Normal 2 2 26 5 3 2" xfId="6058"/>
    <cellStyle name="Normal 2 2 26 5 4" xfId="6059"/>
    <cellStyle name="Normal 2 2 26 5 5" xfId="6060"/>
    <cellStyle name="Normal 2 2 26 5 6" xfId="6061"/>
    <cellStyle name="Normal 2 2 26 5 7" xfId="6062"/>
    <cellStyle name="Normal 2 2 26 5 8" xfId="6063"/>
    <cellStyle name="Normal 2 2 26 5 9" xfId="6064"/>
    <cellStyle name="Normal 2 2 26 6" xfId="6065"/>
    <cellStyle name="Normal 2 2 26 6 2" xfId="6066"/>
    <cellStyle name="Normal 2 2 26 7" xfId="6067"/>
    <cellStyle name="Normal 2 2 26 8" xfId="6068"/>
    <cellStyle name="Normal 2 2 26 9" xfId="6069"/>
    <cellStyle name="Normal 2 2 27" xfId="6070"/>
    <cellStyle name="Normal 2 2 27 10" xfId="6071"/>
    <cellStyle name="Normal 2 2 27 11" xfId="6072"/>
    <cellStyle name="Normal 2 2 27 12" xfId="6073"/>
    <cellStyle name="Normal 2 2 27 13" xfId="6074"/>
    <cellStyle name="Normal 2 2 27 14" xfId="6075"/>
    <cellStyle name="Normal 2 2 27 2" xfId="6076"/>
    <cellStyle name="Normal 2 2 27 2 10" xfId="6077"/>
    <cellStyle name="Normal 2 2 27 2 11" xfId="6078"/>
    <cellStyle name="Normal 2 2 27 2 12" xfId="6079"/>
    <cellStyle name="Normal 2 2 27 2 13" xfId="6080"/>
    <cellStyle name="Normal 2 2 27 2 2" xfId="6081"/>
    <cellStyle name="Normal 2 2 27 2 2 10" xfId="6082"/>
    <cellStyle name="Normal 2 2 27 2 2 11" xfId="6083"/>
    <cellStyle name="Normal 2 2 27 2 2 12" xfId="6084"/>
    <cellStyle name="Normal 2 2 27 2 2 13" xfId="6085"/>
    <cellStyle name="Normal 2 2 27 2 2 2" xfId="6086"/>
    <cellStyle name="Normal 2 2 27 2 2 2 10" xfId="6087"/>
    <cellStyle name="Normal 2 2 27 2 2 2 11" xfId="6088"/>
    <cellStyle name="Normal 2 2 27 2 2 2 12" xfId="6089"/>
    <cellStyle name="Normal 2 2 27 2 2 2 2" xfId="6090"/>
    <cellStyle name="Normal 2 2 27 2 2 2 2 10" xfId="6091"/>
    <cellStyle name="Normal 2 2 27 2 2 2 2 11" xfId="6092"/>
    <cellStyle name="Normal 2 2 27 2 2 2 2 12" xfId="6093"/>
    <cellStyle name="Normal 2 2 27 2 2 2 2 2" xfId="6094"/>
    <cellStyle name="Normal 2 2 27 2 2 2 2 2 10" xfId="6095"/>
    <cellStyle name="Normal 2 2 27 2 2 2 2 2 11" xfId="6096"/>
    <cellStyle name="Normal 2 2 27 2 2 2 2 2 2" xfId="6097"/>
    <cellStyle name="Normal 2 2 27 2 2 2 2 2 2 10" xfId="6098"/>
    <cellStyle name="Normal 2 2 27 2 2 2 2 2 2 11" xfId="6099"/>
    <cellStyle name="Normal 2 2 27 2 2 2 2 2 2 2" xfId="6100"/>
    <cellStyle name="Normal 2 2 27 2 2 2 2 2 2 2 2" xfId="6101"/>
    <cellStyle name="Normal 2 2 27 2 2 2 2 2 2 3" xfId="6102"/>
    <cellStyle name="Normal 2 2 27 2 2 2 2 2 2 4" xfId="6103"/>
    <cellStyle name="Normal 2 2 27 2 2 2 2 2 2 5" xfId="6104"/>
    <cellStyle name="Normal 2 2 27 2 2 2 2 2 2 6" xfId="6105"/>
    <cellStyle name="Normal 2 2 27 2 2 2 2 2 2 7" xfId="6106"/>
    <cellStyle name="Normal 2 2 27 2 2 2 2 2 2 8" xfId="6107"/>
    <cellStyle name="Normal 2 2 27 2 2 2 2 2 2 9" xfId="6108"/>
    <cellStyle name="Normal 2 2 27 2 2 2 2 2 3" xfId="6109"/>
    <cellStyle name="Normal 2 2 27 2 2 2 2 2 3 2" xfId="6110"/>
    <cellStyle name="Normal 2 2 27 2 2 2 2 2 4" xfId="6111"/>
    <cellStyle name="Normal 2 2 27 2 2 2 2 2 5" xfId="6112"/>
    <cellStyle name="Normal 2 2 27 2 2 2 2 2 6" xfId="6113"/>
    <cellStyle name="Normal 2 2 27 2 2 2 2 2 7" xfId="6114"/>
    <cellStyle name="Normal 2 2 27 2 2 2 2 2 8" xfId="6115"/>
    <cellStyle name="Normal 2 2 27 2 2 2 2 2 9" xfId="6116"/>
    <cellStyle name="Normal 2 2 27 2 2 2 2 3" xfId="6117"/>
    <cellStyle name="Normal 2 2 27 2 2 2 2 3 2" xfId="6118"/>
    <cellStyle name="Normal 2 2 27 2 2 2 2 4" xfId="6119"/>
    <cellStyle name="Normal 2 2 27 2 2 2 2 5" xfId="6120"/>
    <cellStyle name="Normal 2 2 27 2 2 2 2 6" xfId="6121"/>
    <cellStyle name="Normal 2 2 27 2 2 2 2 7" xfId="6122"/>
    <cellStyle name="Normal 2 2 27 2 2 2 2 8" xfId="6123"/>
    <cellStyle name="Normal 2 2 27 2 2 2 2 9" xfId="6124"/>
    <cellStyle name="Normal 2 2 27 2 2 2 3" xfId="6125"/>
    <cellStyle name="Normal 2 2 27 2 2 2 3 10" xfId="6126"/>
    <cellStyle name="Normal 2 2 27 2 2 2 3 11" xfId="6127"/>
    <cellStyle name="Normal 2 2 27 2 2 2 3 2" xfId="6128"/>
    <cellStyle name="Normal 2 2 27 2 2 2 3 2 2" xfId="6129"/>
    <cellStyle name="Normal 2 2 27 2 2 2 3 3" xfId="6130"/>
    <cellStyle name="Normal 2 2 27 2 2 2 3 4" xfId="6131"/>
    <cellStyle name="Normal 2 2 27 2 2 2 3 5" xfId="6132"/>
    <cellStyle name="Normal 2 2 27 2 2 2 3 6" xfId="6133"/>
    <cellStyle name="Normal 2 2 27 2 2 2 3 7" xfId="6134"/>
    <cellStyle name="Normal 2 2 27 2 2 2 3 8" xfId="6135"/>
    <cellStyle name="Normal 2 2 27 2 2 2 3 9" xfId="6136"/>
    <cellStyle name="Normal 2 2 27 2 2 2 4" xfId="6137"/>
    <cellStyle name="Normal 2 2 27 2 2 2 4 2" xfId="6138"/>
    <cellStyle name="Normal 2 2 27 2 2 2 5" xfId="6139"/>
    <cellStyle name="Normal 2 2 27 2 2 2 6" xfId="6140"/>
    <cellStyle name="Normal 2 2 27 2 2 2 7" xfId="6141"/>
    <cellStyle name="Normal 2 2 27 2 2 2 8" xfId="6142"/>
    <cellStyle name="Normal 2 2 27 2 2 2 9" xfId="6143"/>
    <cellStyle name="Normal 2 2 27 2 2 3" xfId="6144"/>
    <cellStyle name="Normal 2 2 27 2 2 3 10" xfId="6145"/>
    <cellStyle name="Normal 2 2 27 2 2 3 11" xfId="6146"/>
    <cellStyle name="Normal 2 2 27 2 2 3 2" xfId="6147"/>
    <cellStyle name="Normal 2 2 27 2 2 3 2 10" xfId="6148"/>
    <cellStyle name="Normal 2 2 27 2 2 3 2 11" xfId="6149"/>
    <cellStyle name="Normal 2 2 27 2 2 3 2 2" xfId="6150"/>
    <cellStyle name="Normal 2 2 27 2 2 3 2 2 2" xfId="6151"/>
    <cellStyle name="Normal 2 2 27 2 2 3 2 3" xfId="6152"/>
    <cellStyle name="Normal 2 2 27 2 2 3 2 4" xfId="6153"/>
    <cellStyle name="Normal 2 2 27 2 2 3 2 5" xfId="6154"/>
    <cellStyle name="Normal 2 2 27 2 2 3 2 6" xfId="6155"/>
    <cellStyle name="Normal 2 2 27 2 2 3 2 7" xfId="6156"/>
    <cellStyle name="Normal 2 2 27 2 2 3 2 8" xfId="6157"/>
    <cellStyle name="Normal 2 2 27 2 2 3 2 9" xfId="6158"/>
    <cellStyle name="Normal 2 2 27 2 2 3 3" xfId="6159"/>
    <cellStyle name="Normal 2 2 27 2 2 3 3 2" xfId="6160"/>
    <cellStyle name="Normal 2 2 27 2 2 3 4" xfId="6161"/>
    <cellStyle name="Normal 2 2 27 2 2 3 5" xfId="6162"/>
    <cellStyle name="Normal 2 2 27 2 2 3 6" xfId="6163"/>
    <cellStyle name="Normal 2 2 27 2 2 3 7" xfId="6164"/>
    <cellStyle name="Normal 2 2 27 2 2 3 8" xfId="6165"/>
    <cellStyle name="Normal 2 2 27 2 2 3 9" xfId="6166"/>
    <cellStyle name="Normal 2 2 27 2 2 4" xfId="6167"/>
    <cellStyle name="Normal 2 2 27 2 2 4 2" xfId="6168"/>
    <cellStyle name="Normal 2 2 27 2 2 5" xfId="6169"/>
    <cellStyle name="Normal 2 2 27 2 2 6" xfId="6170"/>
    <cellStyle name="Normal 2 2 27 2 2 7" xfId="6171"/>
    <cellStyle name="Normal 2 2 27 2 2 8" xfId="6172"/>
    <cellStyle name="Normal 2 2 27 2 2 9" xfId="6173"/>
    <cellStyle name="Normal 2 2 27 2 3" xfId="6174"/>
    <cellStyle name="Normal 2 2 27 2 3 10" xfId="6175"/>
    <cellStyle name="Normal 2 2 27 2 3 11" xfId="6176"/>
    <cellStyle name="Normal 2 2 27 2 3 12" xfId="6177"/>
    <cellStyle name="Normal 2 2 27 2 3 2" xfId="6178"/>
    <cellStyle name="Normal 2 2 27 2 3 2 10" xfId="6179"/>
    <cellStyle name="Normal 2 2 27 2 3 2 11" xfId="6180"/>
    <cellStyle name="Normal 2 2 27 2 3 2 2" xfId="6181"/>
    <cellStyle name="Normal 2 2 27 2 3 2 2 10" xfId="6182"/>
    <cellStyle name="Normal 2 2 27 2 3 2 2 11" xfId="6183"/>
    <cellStyle name="Normal 2 2 27 2 3 2 2 2" xfId="6184"/>
    <cellStyle name="Normal 2 2 27 2 3 2 2 2 2" xfId="6185"/>
    <cellStyle name="Normal 2 2 27 2 3 2 2 3" xfId="6186"/>
    <cellStyle name="Normal 2 2 27 2 3 2 2 4" xfId="6187"/>
    <cellStyle name="Normal 2 2 27 2 3 2 2 5" xfId="6188"/>
    <cellStyle name="Normal 2 2 27 2 3 2 2 6" xfId="6189"/>
    <cellStyle name="Normal 2 2 27 2 3 2 2 7" xfId="6190"/>
    <cellStyle name="Normal 2 2 27 2 3 2 2 8" xfId="6191"/>
    <cellStyle name="Normal 2 2 27 2 3 2 2 9" xfId="6192"/>
    <cellStyle name="Normal 2 2 27 2 3 2 3" xfId="6193"/>
    <cellStyle name="Normal 2 2 27 2 3 2 3 2" xfId="6194"/>
    <cellStyle name="Normal 2 2 27 2 3 2 4" xfId="6195"/>
    <cellStyle name="Normal 2 2 27 2 3 2 5" xfId="6196"/>
    <cellStyle name="Normal 2 2 27 2 3 2 6" xfId="6197"/>
    <cellStyle name="Normal 2 2 27 2 3 2 7" xfId="6198"/>
    <cellStyle name="Normal 2 2 27 2 3 2 8" xfId="6199"/>
    <cellStyle name="Normal 2 2 27 2 3 2 9" xfId="6200"/>
    <cellStyle name="Normal 2 2 27 2 3 3" xfId="6201"/>
    <cellStyle name="Normal 2 2 27 2 3 3 2" xfId="6202"/>
    <cellStyle name="Normal 2 2 27 2 3 4" xfId="6203"/>
    <cellStyle name="Normal 2 2 27 2 3 5" xfId="6204"/>
    <cellStyle name="Normal 2 2 27 2 3 6" xfId="6205"/>
    <cellStyle name="Normal 2 2 27 2 3 7" xfId="6206"/>
    <cellStyle name="Normal 2 2 27 2 3 8" xfId="6207"/>
    <cellStyle name="Normal 2 2 27 2 3 9" xfId="6208"/>
    <cellStyle name="Normal 2 2 27 2 4" xfId="6209"/>
    <cellStyle name="Normal 2 2 27 2 4 10" xfId="6210"/>
    <cellStyle name="Normal 2 2 27 2 4 11" xfId="6211"/>
    <cellStyle name="Normal 2 2 27 2 4 2" xfId="6212"/>
    <cellStyle name="Normal 2 2 27 2 4 2 2" xfId="6213"/>
    <cellStyle name="Normal 2 2 27 2 4 3" xfId="6214"/>
    <cellStyle name="Normal 2 2 27 2 4 4" xfId="6215"/>
    <cellStyle name="Normal 2 2 27 2 4 5" xfId="6216"/>
    <cellStyle name="Normal 2 2 27 2 4 6" xfId="6217"/>
    <cellStyle name="Normal 2 2 27 2 4 7" xfId="6218"/>
    <cellStyle name="Normal 2 2 27 2 4 8" xfId="6219"/>
    <cellStyle name="Normal 2 2 27 2 4 9" xfId="6220"/>
    <cellStyle name="Normal 2 2 27 2 5" xfId="6221"/>
    <cellStyle name="Normal 2 2 27 2 5 2" xfId="6222"/>
    <cellStyle name="Normal 2 2 27 2 6" xfId="6223"/>
    <cellStyle name="Normal 2 2 27 2 7" xfId="6224"/>
    <cellStyle name="Normal 2 2 27 2 8" xfId="6225"/>
    <cellStyle name="Normal 2 2 27 2 9" xfId="6226"/>
    <cellStyle name="Normal 2 2 27 3" xfId="6227"/>
    <cellStyle name="Normal 2 2 27 3 10" xfId="6228"/>
    <cellStyle name="Normal 2 2 27 3 11" xfId="6229"/>
    <cellStyle name="Normal 2 2 27 3 12" xfId="6230"/>
    <cellStyle name="Normal 2 2 27 3 2" xfId="6231"/>
    <cellStyle name="Normal 2 2 27 3 2 10" xfId="6232"/>
    <cellStyle name="Normal 2 2 27 3 2 11" xfId="6233"/>
    <cellStyle name="Normal 2 2 27 3 2 12" xfId="6234"/>
    <cellStyle name="Normal 2 2 27 3 2 2" xfId="6235"/>
    <cellStyle name="Normal 2 2 27 3 2 2 10" xfId="6236"/>
    <cellStyle name="Normal 2 2 27 3 2 2 11" xfId="6237"/>
    <cellStyle name="Normal 2 2 27 3 2 2 2" xfId="6238"/>
    <cellStyle name="Normal 2 2 27 3 2 2 2 10" xfId="6239"/>
    <cellStyle name="Normal 2 2 27 3 2 2 2 11" xfId="6240"/>
    <cellStyle name="Normal 2 2 27 3 2 2 2 2" xfId="6241"/>
    <cellStyle name="Normal 2 2 27 3 2 2 2 2 2" xfId="6242"/>
    <cellStyle name="Normal 2 2 27 3 2 2 2 3" xfId="6243"/>
    <cellStyle name="Normal 2 2 27 3 2 2 2 4" xfId="6244"/>
    <cellStyle name="Normal 2 2 27 3 2 2 2 5" xfId="6245"/>
    <cellStyle name="Normal 2 2 27 3 2 2 2 6" xfId="6246"/>
    <cellStyle name="Normal 2 2 27 3 2 2 2 7" xfId="6247"/>
    <cellStyle name="Normal 2 2 27 3 2 2 2 8" xfId="6248"/>
    <cellStyle name="Normal 2 2 27 3 2 2 2 9" xfId="6249"/>
    <cellStyle name="Normal 2 2 27 3 2 2 3" xfId="6250"/>
    <cellStyle name="Normal 2 2 27 3 2 2 3 2" xfId="6251"/>
    <cellStyle name="Normal 2 2 27 3 2 2 4" xfId="6252"/>
    <cellStyle name="Normal 2 2 27 3 2 2 5" xfId="6253"/>
    <cellStyle name="Normal 2 2 27 3 2 2 6" xfId="6254"/>
    <cellStyle name="Normal 2 2 27 3 2 2 7" xfId="6255"/>
    <cellStyle name="Normal 2 2 27 3 2 2 8" xfId="6256"/>
    <cellStyle name="Normal 2 2 27 3 2 2 9" xfId="6257"/>
    <cellStyle name="Normal 2 2 27 3 2 3" xfId="6258"/>
    <cellStyle name="Normal 2 2 27 3 2 3 2" xfId="6259"/>
    <cellStyle name="Normal 2 2 27 3 2 4" xfId="6260"/>
    <cellStyle name="Normal 2 2 27 3 2 5" xfId="6261"/>
    <cellStyle name="Normal 2 2 27 3 2 6" xfId="6262"/>
    <cellStyle name="Normal 2 2 27 3 2 7" xfId="6263"/>
    <cellStyle name="Normal 2 2 27 3 2 8" xfId="6264"/>
    <cellStyle name="Normal 2 2 27 3 2 9" xfId="6265"/>
    <cellStyle name="Normal 2 2 27 3 3" xfId="6266"/>
    <cellStyle name="Normal 2 2 27 3 3 10" xfId="6267"/>
    <cellStyle name="Normal 2 2 27 3 3 11" xfId="6268"/>
    <cellStyle name="Normal 2 2 27 3 3 2" xfId="6269"/>
    <cellStyle name="Normal 2 2 27 3 3 2 2" xfId="6270"/>
    <cellStyle name="Normal 2 2 27 3 3 3" xfId="6271"/>
    <cellStyle name="Normal 2 2 27 3 3 4" xfId="6272"/>
    <cellStyle name="Normal 2 2 27 3 3 5" xfId="6273"/>
    <cellStyle name="Normal 2 2 27 3 3 6" xfId="6274"/>
    <cellStyle name="Normal 2 2 27 3 3 7" xfId="6275"/>
    <cellStyle name="Normal 2 2 27 3 3 8" xfId="6276"/>
    <cellStyle name="Normal 2 2 27 3 3 9" xfId="6277"/>
    <cellStyle name="Normal 2 2 27 3 4" xfId="6278"/>
    <cellStyle name="Normal 2 2 27 3 4 2" xfId="6279"/>
    <cellStyle name="Normal 2 2 27 3 5" xfId="6280"/>
    <cellStyle name="Normal 2 2 27 3 6" xfId="6281"/>
    <cellStyle name="Normal 2 2 27 3 7" xfId="6282"/>
    <cellStyle name="Normal 2 2 27 3 8" xfId="6283"/>
    <cellStyle name="Normal 2 2 27 3 9" xfId="6284"/>
    <cellStyle name="Normal 2 2 27 4" xfId="6285"/>
    <cellStyle name="Normal 2 2 27 4 10" xfId="6286"/>
    <cellStyle name="Normal 2 2 27 4 11" xfId="6287"/>
    <cellStyle name="Normal 2 2 27 4 2" xfId="6288"/>
    <cellStyle name="Normal 2 2 27 4 2 10" xfId="6289"/>
    <cellStyle name="Normal 2 2 27 4 2 11" xfId="6290"/>
    <cellStyle name="Normal 2 2 27 4 2 2" xfId="6291"/>
    <cellStyle name="Normal 2 2 27 4 2 2 2" xfId="6292"/>
    <cellStyle name="Normal 2 2 27 4 2 3" xfId="6293"/>
    <cellStyle name="Normal 2 2 27 4 2 4" xfId="6294"/>
    <cellStyle name="Normal 2 2 27 4 2 5" xfId="6295"/>
    <cellStyle name="Normal 2 2 27 4 2 6" xfId="6296"/>
    <cellStyle name="Normal 2 2 27 4 2 7" xfId="6297"/>
    <cellStyle name="Normal 2 2 27 4 2 8" xfId="6298"/>
    <cellStyle name="Normal 2 2 27 4 2 9" xfId="6299"/>
    <cellStyle name="Normal 2 2 27 4 3" xfId="6300"/>
    <cellStyle name="Normal 2 2 27 4 3 2" xfId="6301"/>
    <cellStyle name="Normal 2 2 27 4 4" xfId="6302"/>
    <cellStyle name="Normal 2 2 27 4 5" xfId="6303"/>
    <cellStyle name="Normal 2 2 27 4 6" xfId="6304"/>
    <cellStyle name="Normal 2 2 27 4 7" xfId="6305"/>
    <cellStyle name="Normal 2 2 27 4 8" xfId="6306"/>
    <cellStyle name="Normal 2 2 27 4 9" xfId="6307"/>
    <cellStyle name="Normal 2 2 27 5" xfId="6308"/>
    <cellStyle name="Normal 2 2 27 5 2" xfId="6309"/>
    <cellStyle name="Normal 2 2 27 6" xfId="6310"/>
    <cellStyle name="Normal 2 2 27 7" xfId="6311"/>
    <cellStyle name="Normal 2 2 27 8" xfId="6312"/>
    <cellStyle name="Normal 2 2 27 9" xfId="6313"/>
    <cellStyle name="Normal 2 2 28" xfId="6314"/>
    <cellStyle name="Normal 2 2 28 10" xfId="6315"/>
    <cellStyle name="Normal 2 2 28 11" xfId="6316"/>
    <cellStyle name="Normal 2 2 28 12" xfId="6317"/>
    <cellStyle name="Normal 2 2 28 13" xfId="6318"/>
    <cellStyle name="Normal 2 2 28 2" xfId="6319"/>
    <cellStyle name="Normal 2 2 28 2 10" xfId="6320"/>
    <cellStyle name="Normal 2 2 28 2 11" xfId="6321"/>
    <cellStyle name="Normal 2 2 28 2 12" xfId="6322"/>
    <cellStyle name="Normal 2 2 28 2 2" xfId="6323"/>
    <cellStyle name="Normal 2 2 28 2 2 10" xfId="6324"/>
    <cellStyle name="Normal 2 2 28 2 2 11" xfId="6325"/>
    <cellStyle name="Normal 2 2 28 2 2 12" xfId="6326"/>
    <cellStyle name="Normal 2 2 28 2 2 2" xfId="6327"/>
    <cellStyle name="Normal 2 2 28 2 2 2 10" xfId="6328"/>
    <cellStyle name="Normal 2 2 28 2 2 2 11" xfId="6329"/>
    <cellStyle name="Normal 2 2 28 2 2 2 2" xfId="6330"/>
    <cellStyle name="Normal 2 2 28 2 2 2 2 10" xfId="6331"/>
    <cellStyle name="Normal 2 2 28 2 2 2 2 11" xfId="6332"/>
    <cellStyle name="Normal 2 2 28 2 2 2 2 2" xfId="6333"/>
    <cellStyle name="Normal 2 2 28 2 2 2 2 2 2" xfId="6334"/>
    <cellStyle name="Normal 2 2 28 2 2 2 2 3" xfId="6335"/>
    <cellStyle name="Normal 2 2 28 2 2 2 2 4" xfId="6336"/>
    <cellStyle name="Normal 2 2 28 2 2 2 2 5" xfId="6337"/>
    <cellStyle name="Normal 2 2 28 2 2 2 2 6" xfId="6338"/>
    <cellStyle name="Normal 2 2 28 2 2 2 2 7" xfId="6339"/>
    <cellStyle name="Normal 2 2 28 2 2 2 2 8" xfId="6340"/>
    <cellStyle name="Normal 2 2 28 2 2 2 2 9" xfId="6341"/>
    <cellStyle name="Normal 2 2 28 2 2 2 3" xfId="6342"/>
    <cellStyle name="Normal 2 2 28 2 2 2 3 2" xfId="6343"/>
    <cellStyle name="Normal 2 2 28 2 2 2 4" xfId="6344"/>
    <cellStyle name="Normal 2 2 28 2 2 2 5" xfId="6345"/>
    <cellStyle name="Normal 2 2 28 2 2 2 6" xfId="6346"/>
    <cellStyle name="Normal 2 2 28 2 2 2 7" xfId="6347"/>
    <cellStyle name="Normal 2 2 28 2 2 2 8" xfId="6348"/>
    <cellStyle name="Normal 2 2 28 2 2 2 9" xfId="6349"/>
    <cellStyle name="Normal 2 2 28 2 2 3" xfId="6350"/>
    <cellStyle name="Normal 2 2 28 2 2 3 2" xfId="6351"/>
    <cellStyle name="Normal 2 2 28 2 2 4" xfId="6352"/>
    <cellStyle name="Normal 2 2 28 2 2 5" xfId="6353"/>
    <cellStyle name="Normal 2 2 28 2 2 6" xfId="6354"/>
    <cellStyle name="Normal 2 2 28 2 2 7" xfId="6355"/>
    <cellStyle name="Normal 2 2 28 2 2 8" xfId="6356"/>
    <cellStyle name="Normal 2 2 28 2 2 9" xfId="6357"/>
    <cellStyle name="Normal 2 2 28 2 3" xfId="6358"/>
    <cellStyle name="Normal 2 2 28 2 3 10" xfId="6359"/>
    <cellStyle name="Normal 2 2 28 2 3 11" xfId="6360"/>
    <cellStyle name="Normal 2 2 28 2 3 2" xfId="6361"/>
    <cellStyle name="Normal 2 2 28 2 3 2 2" xfId="6362"/>
    <cellStyle name="Normal 2 2 28 2 3 3" xfId="6363"/>
    <cellStyle name="Normal 2 2 28 2 3 4" xfId="6364"/>
    <cellStyle name="Normal 2 2 28 2 3 5" xfId="6365"/>
    <cellStyle name="Normal 2 2 28 2 3 6" xfId="6366"/>
    <cellStyle name="Normal 2 2 28 2 3 7" xfId="6367"/>
    <cellStyle name="Normal 2 2 28 2 3 8" xfId="6368"/>
    <cellStyle name="Normal 2 2 28 2 3 9" xfId="6369"/>
    <cellStyle name="Normal 2 2 28 2 4" xfId="6370"/>
    <cellStyle name="Normal 2 2 28 2 4 2" xfId="6371"/>
    <cellStyle name="Normal 2 2 28 2 5" xfId="6372"/>
    <cellStyle name="Normal 2 2 28 2 6" xfId="6373"/>
    <cellStyle name="Normal 2 2 28 2 7" xfId="6374"/>
    <cellStyle name="Normal 2 2 28 2 8" xfId="6375"/>
    <cellStyle name="Normal 2 2 28 2 9" xfId="6376"/>
    <cellStyle name="Normal 2 2 28 3" xfId="6377"/>
    <cellStyle name="Normal 2 2 28 3 10" xfId="6378"/>
    <cellStyle name="Normal 2 2 28 3 11" xfId="6379"/>
    <cellStyle name="Normal 2 2 28 3 2" xfId="6380"/>
    <cellStyle name="Normal 2 2 28 3 2 10" xfId="6381"/>
    <cellStyle name="Normal 2 2 28 3 2 11" xfId="6382"/>
    <cellStyle name="Normal 2 2 28 3 2 2" xfId="6383"/>
    <cellStyle name="Normal 2 2 28 3 2 2 2" xfId="6384"/>
    <cellStyle name="Normal 2 2 28 3 2 3" xfId="6385"/>
    <cellStyle name="Normal 2 2 28 3 2 4" xfId="6386"/>
    <cellStyle name="Normal 2 2 28 3 2 5" xfId="6387"/>
    <cellStyle name="Normal 2 2 28 3 2 6" xfId="6388"/>
    <cellStyle name="Normal 2 2 28 3 2 7" xfId="6389"/>
    <cellStyle name="Normal 2 2 28 3 2 8" xfId="6390"/>
    <cellStyle name="Normal 2 2 28 3 2 9" xfId="6391"/>
    <cellStyle name="Normal 2 2 28 3 3" xfId="6392"/>
    <cellStyle name="Normal 2 2 28 3 3 2" xfId="6393"/>
    <cellStyle name="Normal 2 2 28 3 4" xfId="6394"/>
    <cellStyle name="Normal 2 2 28 3 5" xfId="6395"/>
    <cellStyle name="Normal 2 2 28 3 6" xfId="6396"/>
    <cellStyle name="Normal 2 2 28 3 7" xfId="6397"/>
    <cellStyle name="Normal 2 2 28 3 8" xfId="6398"/>
    <cellStyle name="Normal 2 2 28 3 9" xfId="6399"/>
    <cellStyle name="Normal 2 2 28 4" xfId="6400"/>
    <cellStyle name="Normal 2 2 28 4 2" xfId="6401"/>
    <cellStyle name="Normal 2 2 28 5" xfId="6402"/>
    <cellStyle name="Normal 2 2 28 6" xfId="6403"/>
    <cellStyle name="Normal 2 2 28 7" xfId="6404"/>
    <cellStyle name="Normal 2 2 28 8" xfId="6405"/>
    <cellStyle name="Normal 2 2 28 9" xfId="6406"/>
    <cellStyle name="Normal 2 2 29" xfId="6407"/>
    <cellStyle name="Normal 2 2 29 10" xfId="6408"/>
    <cellStyle name="Normal 2 2 29 11" xfId="6409"/>
    <cellStyle name="Normal 2 2 29 12" xfId="6410"/>
    <cellStyle name="Normal 2 2 29 2" xfId="6411"/>
    <cellStyle name="Normal 2 2 29 2 10" xfId="6412"/>
    <cellStyle name="Normal 2 2 29 2 11" xfId="6413"/>
    <cellStyle name="Normal 2 2 29 2 2" xfId="6414"/>
    <cellStyle name="Normal 2 2 29 2 2 10" xfId="6415"/>
    <cellStyle name="Normal 2 2 29 2 2 11" xfId="6416"/>
    <cellStyle name="Normal 2 2 29 2 2 2" xfId="6417"/>
    <cellStyle name="Normal 2 2 29 2 2 2 2" xfId="6418"/>
    <cellStyle name="Normal 2 2 29 2 2 3" xfId="6419"/>
    <cellStyle name="Normal 2 2 29 2 2 4" xfId="6420"/>
    <cellStyle name="Normal 2 2 29 2 2 5" xfId="6421"/>
    <cellStyle name="Normal 2 2 29 2 2 6" xfId="6422"/>
    <cellStyle name="Normal 2 2 29 2 2 7" xfId="6423"/>
    <cellStyle name="Normal 2 2 29 2 2 8" xfId="6424"/>
    <cellStyle name="Normal 2 2 29 2 2 9" xfId="6425"/>
    <cellStyle name="Normal 2 2 29 2 3" xfId="6426"/>
    <cellStyle name="Normal 2 2 29 2 3 2" xfId="6427"/>
    <cellStyle name="Normal 2 2 29 2 4" xfId="6428"/>
    <cellStyle name="Normal 2 2 29 2 5" xfId="6429"/>
    <cellStyle name="Normal 2 2 29 2 6" xfId="6430"/>
    <cellStyle name="Normal 2 2 29 2 7" xfId="6431"/>
    <cellStyle name="Normal 2 2 29 2 8" xfId="6432"/>
    <cellStyle name="Normal 2 2 29 2 9" xfId="6433"/>
    <cellStyle name="Normal 2 2 29 3" xfId="6434"/>
    <cellStyle name="Normal 2 2 29 3 2" xfId="6435"/>
    <cellStyle name="Normal 2 2 29 4" xfId="6436"/>
    <cellStyle name="Normal 2 2 29 5" xfId="6437"/>
    <cellStyle name="Normal 2 2 29 6" xfId="6438"/>
    <cellStyle name="Normal 2 2 29 7" xfId="6439"/>
    <cellStyle name="Normal 2 2 29 8" xfId="6440"/>
    <cellStyle name="Normal 2 2 29 9" xfId="6441"/>
    <cellStyle name="Normal 2 2 3" xfId="6442"/>
    <cellStyle name="Normal 2 2 30" xfId="6443"/>
    <cellStyle name="Normal 2 2 30 10" xfId="6444"/>
    <cellStyle name="Normal 2 2 30 11" xfId="6445"/>
    <cellStyle name="Normal 2 2 30 2" xfId="6446"/>
    <cellStyle name="Normal 2 2 30 2 2" xfId="6447"/>
    <cellStyle name="Normal 2 2 30 3" xfId="6448"/>
    <cellStyle name="Normal 2 2 30 4" xfId="6449"/>
    <cellStyle name="Normal 2 2 30 5" xfId="6450"/>
    <cellStyle name="Normal 2 2 30 6" xfId="6451"/>
    <cellStyle name="Normal 2 2 30 7" xfId="6452"/>
    <cellStyle name="Normal 2 2 30 8" xfId="6453"/>
    <cellStyle name="Normal 2 2 30 9" xfId="6454"/>
    <cellStyle name="Normal 2 2 31" xfId="6455"/>
    <cellStyle name="Normal 2 2 31 2" xfId="6456"/>
    <cellStyle name="Normal 2 2 32" xfId="6457"/>
    <cellStyle name="Normal 2 2 33" xfId="6458"/>
    <cellStyle name="Normal 2 2 34" xfId="6459"/>
    <cellStyle name="Normal 2 2 35" xfId="6460"/>
    <cellStyle name="Normal 2 2 36" xfId="6461"/>
    <cellStyle name="Normal 2 2 37" xfId="6462"/>
    <cellStyle name="Normal 2 2 38" xfId="6463"/>
    <cellStyle name="Normal 2 2 39" xfId="6464"/>
    <cellStyle name="Normal 2 2 4" xfId="6465"/>
    <cellStyle name="Normal 2 2 40" xfId="6466"/>
    <cellStyle name="Normal 2 2 40 2" xfId="6467"/>
    <cellStyle name="Normal 2 2 41" xfId="6468"/>
    <cellStyle name="Normal 2 2 42" xfId="6469"/>
    <cellStyle name="Normal 2 2 43" xfId="6470"/>
    <cellStyle name="Normal 2 2 44" xfId="6471"/>
    <cellStyle name="Normal 2 2 45" xfId="6472"/>
    <cellStyle name="Normal 2 2 46" xfId="6473"/>
    <cellStyle name="Normal 2 2 47" xfId="6474"/>
    <cellStyle name="Normal 2 2 48" xfId="6475"/>
    <cellStyle name="Normal 2 2 49" xfId="6476"/>
    <cellStyle name="Normal 2 2 5" xfId="6477"/>
    <cellStyle name="Normal 2 2 50" xfId="6478"/>
    <cellStyle name="Normal 2 2 51" xfId="6479"/>
    <cellStyle name="Normal 2 2 52" xfId="6480"/>
    <cellStyle name="Normal 2 2 53" xfId="6481"/>
    <cellStyle name="Normal 2 2 54" xfId="6482"/>
    <cellStyle name="Normal 2 2 55" xfId="6483"/>
    <cellStyle name="Normal 2 2 56" xfId="6484"/>
    <cellStyle name="Normal 2 2 56 2" xfId="6485"/>
    <cellStyle name="Normal 2 2 57" xfId="6486"/>
    <cellStyle name="Normal 2 2 58" xfId="6487"/>
    <cellStyle name="Normal 2 2 59" xfId="6488"/>
    <cellStyle name="Normal 2 2 6" xfId="6489"/>
    <cellStyle name="Normal 2 2 60" xfId="7376"/>
    <cellStyle name="Normal 2 2 61" xfId="7377"/>
    <cellStyle name="Normal 2 2 7" xfId="6490"/>
    <cellStyle name="Normal 2 2 7 2" xfId="6491"/>
    <cellStyle name="Normal 2 2 7 2 2" xfId="6492"/>
    <cellStyle name="Normal 2 2 8" xfId="6493"/>
    <cellStyle name="Normal 2 2 8 2" xfId="6494"/>
    <cellStyle name="Normal 2 2 9" xfId="6495"/>
    <cellStyle name="Normal 2 20" xfId="6496"/>
    <cellStyle name="Normal 2 20 2" xfId="6497"/>
    <cellStyle name="Normal 2 21" xfId="6498"/>
    <cellStyle name="Normal 2 22" xfId="6499"/>
    <cellStyle name="Normal 2 23" xfId="6500"/>
    <cellStyle name="Normal 2 24" xfId="6501"/>
    <cellStyle name="Normal 2 25" xfId="6502"/>
    <cellStyle name="Normal 2 25 10" xfId="6503"/>
    <cellStyle name="Normal 2 25 11" xfId="6504"/>
    <cellStyle name="Normal 2 25 12" xfId="6505"/>
    <cellStyle name="Normal 2 25 2" xfId="6506"/>
    <cellStyle name="Normal 2 25 3" xfId="6507"/>
    <cellStyle name="Normal 2 25 4" xfId="6508"/>
    <cellStyle name="Normal 2 25 5" xfId="6509"/>
    <cellStyle name="Normal 2 25 6" xfId="6510"/>
    <cellStyle name="Normal 2 25 7" xfId="6511"/>
    <cellStyle name="Normal 2 25 8" xfId="6512"/>
    <cellStyle name="Normal 2 25 9" xfId="6513"/>
    <cellStyle name="Normal 2 26" xfId="6514"/>
    <cellStyle name="Normal 2 27" xfId="6515"/>
    <cellStyle name="Normal 2 28" xfId="6516"/>
    <cellStyle name="Normal 2 29" xfId="6517"/>
    <cellStyle name="Normal 2 29 10" xfId="6518"/>
    <cellStyle name="Normal 2 29 11" xfId="6519"/>
    <cellStyle name="Normal 2 29 12" xfId="6520"/>
    <cellStyle name="Normal 2 29 13" xfId="6521"/>
    <cellStyle name="Normal 2 29 14" xfId="6522"/>
    <cellStyle name="Normal 2 29 15" xfId="6523"/>
    <cellStyle name="Normal 2 29 2" xfId="6524"/>
    <cellStyle name="Normal 2 29 2 10" xfId="6525"/>
    <cellStyle name="Normal 2 29 2 11" xfId="6526"/>
    <cellStyle name="Normal 2 29 2 12" xfId="6527"/>
    <cellStyle name="Normal 2 29 2 13" xfId="6528"/>
    <cellStyle name="Normal 2 29 2 14" xfId="6529"/>
    <cellStyle name="Normal 2 29 2 2" xfId="6530"/>
    <cellStyle name="Normal 2 29 2 2 10" xfId="6531"/>
    <cellStyle name="Normal 2 29 2 2 11" xfId="6532"/>
    <cellStyle name="Normal 2 29 2 2 12" xfId="6533"/>
    <cellStyle name="Normal 2 29 2 2 13" xfId="6534"/>
    <cellStyle name="Normal 2 29 2 2 14" xfId="6535"/>
    <cellStyle name="Normal 2 29 2 2 2" xfId="6536"/>
    <cellStyle name="Normal 2 29 2 2 2 10" xfId="6537"/>
    <cellStyle name="Normal 2 29 2 2 2 11" xfId="6538"/>
    <cellStyle name="Normal 2 29 2 2 2 12" xfId="6539"/>
    <cellStyle name="Normal 2 29 2 2 2 13" xfId="6540"/>
    <cellStyle name="Normal 2 29 2 2 2 2" xfId="6541"/>
    <cellStyle name="Normal 2 29 2 2 2 2 10" xfId="6542"/>
    <cellStyle name="Normal 2 29 2 2 2 2 11" xfId="6543"/>
    <cellStyle name="Normal 2 29 2 2 2 2 12" xfId="6544"/>
    <cellStyle name="Normal 2 29 2 2 2 2 13" xfId="6545"/>
    <cellStyle name="Normal 2 29 2 2 2 2 2" xfId="6546"/>
    <cellStyle name="Normal 2 29 2 2 2 2 2 10" xfId="6547"/>
    <cellStyle name="Normal 2 29 2 2 2 2 2 11" xfId="6548"/>
    <cellStyle name="Normal 2 29 2 2 2 2 2 12" xfId="6549"/>
    <cellStyle name="Normal 2 29 2 2 2 2 2 2" xfId="6550"/>
    <cellStyle name="Normal 2 29 2 2 2 2 2 2 10" xfId="6551"/>
    <cellStyle name="Normal 2 29 2 2 2 2 2 2 11" xfId="6552"/>
    <cellStyle name="Normal 2 29 2 2 2 2 2 2 12" xfId="6553"/>
    <cellStyle name="Normal 2 29 2 2 2 2 2 2 2" xfId="6554"/>
    <cellStyle name="Normal 2 29 2 2 2 2 2 2 2 10" xfId="6555"/>
    <cellStyle name="Normal 2 29 2 2 2 2 2 2 2 11" xfId="6556"/>
    <cellStyle name="Normal 2 29 2 2 2 2 2 2 2 2" xfId="6557"/>
    <cellStyle name="Normal 2 29 2 2 2 2 2 2 2 2 10" xfId="6558"/>
    <cellStyle name="Normal 2 29 2 2 2 2 2 2 2 2 11" xfId="6559"/>
    <cellStyle name="Normal 2 29 2 2 2 2 2 2 2 2 2" xfId="6560"/>
    <cellStyle name="Normal 2 29 2 2 2 2 2 2 2 2 2 2" xfId="6561"/>
    <cellStyle name="Normal 2 29 2 2 2 2 2 2 2 2 3" xfId="6562"/>
    <cellStyle name="Normal 2 29 2 2 2 2 2 2 2 2 4" xfId="6563"/>
    <cellStyle name="Normal 2 29 2 2 2 2 2 2 2 2 5" xfId="6564"/>
    <cellStyle name="Normal 2 29 2 2 2 2 2 2 2 2 6" xfId="6565"/>
    <cellStyle name="Normal 2 29 2 2 2 2 2 2 2 2 7" xfId="6566"/>
    <cellStyle name="Normal 2 29 2 2 2 2 2 2 2 2 8" xfId="6567"/>
    <cellStyle name="Normal 2 29 2 2 2 2 2 2 2 2 9" xfId="6568"/>
    <cellStyle name="Normal 2 29 2 2 2 2 2 2 2 3" xfId="6569"/>
    <cellStyle name="Normal 2 29 2 2 2 2 2 2 2 3 2" xfId="6570"/>
    <cellStyle name="Normal 2 29 2 2 2 2 2 2 2 4" xfId="6571"/>
    <cellStyle name="Normal 2 29 2 2 2 2 2 2 2 5" xfId="6572"/>
    <cellStyle name="Normal 2 29 2 2 2 2 2 2 2 6" xfId="6573"/>
    <cellStyle name="Normal 2 29 2 2 2 2 2 2 2 7" xfId="6574"/>
    <cellStyle name="Normal 2 29 2 2 2 2 2 2 2 8" xfId="6575"/>
    <cellStyle name="Normal 2 29 2 2 2 2 2 2 2 9" xfId="6576"/>
    <cellStyle name="Normal 2 29 2 2 2 2 2 2 3" xfId="6577"/>
    <cellStyle name="Normal 2 29 2 2 2 2 2 2 3 2" xfId="6578"/>
    <cellStyle name="Normal 2 29 2 2 2 2 2 2 4" xfId="6579"/>
    <cellStyle name="Normal 2 29 2 2 2 2 2 2 5" xfId="6580"/>
    <cellStyle name="Normal 2 29 2 2 2 2 2 2 6" xfId="6581"/>
    <cellStyle name="Normal 2 29 2 2 2 2 2 2 7" xfId="6582"/>
    <cellStyle name="Normal 2 29 2 2 2 2 2 2 8" xfId="6583"/>
    <cellStyle name="Normal 2 29 2 2 2 2 2 2 9" xfId="6584"/>
    <cellStyle name="Normal 2 29 2 2 2 2 2 3" xfId="6585"/>
    <cellStyle name="Normal 2 29 2 2 2 2 2 3 10" xfId="6586"/>
    <cellStyle name="Normal 2 29 2 2 2 2 2 3 11" xfId="6587"/>
    <cellStyle name="Normal 2 29 2 2 2 2 2 3 2" xfId="6588"/>
    <cellStyle name="Normal 2 29 2 2 2 2 2 3 2 2" xfId="6589"/>
    <cellStyle name="Normal 2 29 2 2 2 2 2 3 3" xfId="6590"/>
    <cellStyle name="Normal 2 29 2 2 2 2 2 3 4" xfId="6591"/>
    <cellStyle name="Normal 2 29 2 2 2 2 2 3 5" xfId="6592"/>
    <cellStyle name="Normal 2 29 2 2 2 2 2 3 6" xfId="6593"/>
    <cellStyle name="Normal 2 29 2 2 2 2 2 3 7" xfId="6594"/>
    <cellStyle name="Normal 2 29 2 2 2 2 2 3 8" xfId="6595"/>
    <cellStyle name="Normal 2 29 2 2 2 2 2 3 9" xfId="6596"/>
    <cellStyle name="Normal 2 29 2 2 2 2 2 4" xfId="6597"/>
    <cellStyle name="Normal 2 29 2 2 2 2 2 4 2" xfId="6598"/>
    <cellStyle name="Normal 2 29 2 2 2 2 2 5" xfId="6599"/>
    <cellStyle name="Normal 2 29 2 2 2 2 2 6" xfId="6600"/>
    <cellStyle name="Normal 2 29 2 2 2 2 2 7" xfId="6601"/>
    <cellStyle name="Normal 2 29 2 2 2 2 2 8" xfId="6602"/>
    <cellStyle name="Normal 2 29 2 2 2 2 2 9" xfId="6603"/>
    <cellStyle name="Normal 2 29 2 2 2 2 3" xfId="6604"/>
    <cellStyle name="Normal 2 29 2 2 2 2 3 10" xfId="6605"/>
    <cellStyle name="Normal 2 29 2 2 2 2 3 11" xfId="6606"/>
    <cellStyle name="Normal 2 29 2 2 2 2 3 2" xfId="6607"/>
    <cellStyle name="Normal 2 29 2 2 2 2 3 2 10" xfId="6608"/>
    <cellStyle name="Normal 2 29 2 2 2 2 3 2 11" xfId="6609"/>
    <cellStyle name="Normal 2 29 2 2 2 2 3 2 2" xfId="6610"/>
    <cellStyle name="Normal 2 29 2 2 2 2 3 2 2 2" xfId="6611"/>
    <cellStyle name="Normal 2 29 2 2 2 2 3 2 3" xfId="6612"/>
    <cellStyle name="Normal 2 29 2 2 2 2 3 2 4" xfId="6613"/>
    <cellStyle name="Normal 2 29 2 2 2 2 3 2 5" xfId="6614"/>
    <cellStyle name="Normal 2 29 2 2 2 2 3 2 6" xfId="6615"/>
    <cellStyle name="Normal 2 29 2 2 2 2 3 2 7" xfId="6616"/>
    <cellStyle name="Normal 2 29 2 2 2 2 3 2 8" xfId="6617"/>
    <cellStyle name="Normal 2 29 2 2 2 2 3 2 9" xfId="6618"/>
    <cellStyle name="Normal 2 29 2 2 2 2 3 3" xfId="6619"/>
    <cellStyle name="Normal 2 29 2 2 2 2 3 3 2" xfId="6620"/>
    <cellStyle name="Normal 2 29 2 2 2 2 3 4" xfId="6621"/>
    <cellStyle name="Normal 2 29 2 2 2 2 3 5" xfId="6622"/>
    <cellStyle name="Normal 2 29 2 2 2 2 3 6" xfId="6623"/>
    <cellStyle name="Normal 2 29 2 2 2 2 3 7" xfId="6624"/>
    <cellStyle name="Normal 2 29 2 2 2 2 3 8" xfId="6625"/>
    <cellStyle name="Normal 2 29 2 2 2 2 3 9" xfId="6626"/>
    <cellStyle name="Normal 2 29 2 2 2 2 4" xfId="6627"/>
    <cellStyle name="Normal 2 29 2 2 2 2 4 2" xfId="6628"/>
    <cellStyle name="Normal 2 29 2 2 2 2 5" xfId="6629"/>
    <cellStyle name="Normal 2 29 2 2 2 2 6" xfId="6630"/>
    <cellStyle name="Normal 2 29 2 2 2 2 7" xfId="6631"/>
    <cellStyle name="Normal 2 29 2 2 2 2 8" xfId="6632"/>
    <cellStyle name="Normal 2 29 2 2 2 2 9" xfId="6633"/>
    <cellStyle name="Normal 2 29 2 2 2 3" xfId="6634"/>
    <cellStyle name="Normal 2 29 2 2 2 3 10" xfId="6635"/>
    <cellStyle name="Normal 2 29 2 2 2 3 11" xfId="6636"/>
    <cellStyle name="Normal 2 29 2 2 2 3 12" xfId="6637"/>
    <cellStyle name="Normal 2 29 2 2 2 3 2" xfId="6638"/>
    <cellStyle name="Normal 2 29 2 2 2 3 2 10" xfId="6639"/>
    <cellStyle name="Normal 2 29 2 2 2 3 2 11" xfId="6640"/>
    <cellStyle name="Normal 2 29 2 2 2 3 2 2" xfId="6641"/>
    <cellStyle name="Normal 2 29 2 2 2 3 2 2 10" xfId="6642"/>
    <cellStyle name="Normal 2 29 2 2 2 3 2 2 11" xfId="6643"/>
    <cellStyle name="Normal 2 29 2 2 2 3 2 2 2" xfId="6644"/>
    <cellStyle name="Normal 2 29 2 2 2 3 2 2 2 2" xfId="6645"/>
    <cellStyle name="Normal 2 29 2 2 2 3 2 2 3" xfId="6646"/>
    <cellStyle name="Normal 2 29 2 2 2 3 2 2 4" xfId="6647"/>
    <cellStyle name="Normal 2 29 2 2 2 3 2 2 5" xfId="6648"/>
    <cellStyle name="Normal 2 29 2 2 2 3 2 2 6" xfId="6649"/>
    <cellStyle name="Normal 2 29 2 2 2 3 2 2 7" xfId="6650"/>
    <cellStyle name="Normal 2 29 2 2 2 3 2 2 8" xfId="6651"/>
    <cellStyle name="Normal 2 29 2 2 2 3 2 2 9" xfId="6652"/>
    <cellStyle name="Normal 2 29 2 2 2 3 2 3" xfId="6653"/>
    <cellStyle name="Normal 2 29 2 2 2 3 2 3 2" xfId="6654"/>
    <cellStyle name="Normal 2 29 2 2 2 3 2 4" xfId="6655"/>
    <cellStyle name="Normal 2 29 2 2 2 3 2 5" xfId="6656"/>
    <cellStyle name="Normal 2 29 2 2 2 3 2 6" xfId="6657"/>
    <cellStyle name="Normal 2 29 2 2 2 3 2 7" xfId="6658"/>
    <cellStyle name="Normal 2 29 2 2 2 3 2 8" xfId="6659"/>
    <cellStyle name="Normal 2 29 2 2 2 3 2 9" xfId="6660"/>
    <cellStyle name="Normal 2 29 2 2 2 3 3" xfId="6661"/>
    <cellStyle name="Normal 2 29 2 2 2 3 3 2" xfId="6662"/>
    <cellStyle name="Normal 2 29 2 2 2 3 4" xfId="6663"/>
    <cellStyle name="Normal 2 29 2 2 2 3 5" xfId="6664"/>
    <cellStyle name="Normal 2 29 2 2 2 3 6" xfId="6665"/>
    <cellStyle name="Normal 2 29 2 2 2 3 7" xfId="6666"/>
    <cellStyle name="Normal 2 29 2 2 2 3 8" xfId="6667"/>
    <cellStyle name="Normal 2 29 2 2 2 3 9" xfId="6668"/>
    <cellStyle name="Normal 2 29 2 2 2 4" xfId="6669"/>
    <cellStyle name="Normal 2 29 2 2 2 4 10" xfId="6670"/>
    <cellStyle name="Normal 2 29 2 2 2 4 11" xfId="6671"/>
    <cellStyle name="Normal 2 29 2 2 2 4 2" xfId="6672"/>
    <cellStyle name="Normal 2 29 2 2 2 4 2 2" xfId="6673"/>
    <cellStyle name="Normal 2 29 2 2 2 4 3" xfId="6674"/>
    <cellStyle name="Normal 2 29 2 2 2 4 4" xfId="6675"/>
    <cellStyle name="Normal 2 29 2 2 2 4 5" xfId="6676"/>
    <cellStyle name="Normal 2 29 2 2 2 4 6" xfId="6677"/>
    <cellStyle name="Normal 2 29 2 2 2 4 7" xfId="6678"/>
    <cellStyle name="Normal 2 29 2 2 2 4 8" xfId="6679"/>
    <cellStyle name="Normal 2 29 2 2 2 4 9" xfId="6680"/>
    <cellStyle name="Normal 2 29 2 2 2 5" xfId="6681"/>
    <cellStyle name="Normal 2 29 2 2 2 5 2" xfId="6682"/>
    <cellStyle name="Normal 2 29 2 2 2 6" xfId="6683"/>
    <cellStyle name="Normal 2 29 2 2 2 7" xfId="6684"/>
    <cellStyle name="Normal 2 29 2 2 2 8" xfId="6685"/>
    <cellStyle name="Normal 2 29 2 2 2 9" xfId="6686"/>
    <cellStyle name="Normal 2 29 2 2 3" xfId="6687"/>
    <cellStyle name="Normal 2 29 2 2 3 10" xfId="6688"/>
    <cellStyle name="Normal 2 29 2 2 3 11" xfId="6689"/>
    <cellStyle name="Normal 2 29 2 2 3 12" xfId="6690"/>
    <cellStyle name="Normal 2 29 2 2 3 2" xfId="6691"/>
    <cellStyle name="Normal 2 29 2 2 3 2 10" xfId="6692"/>
    <cellStyle name="Normal 2 29 2 2 3 2 11" xfId="6693"/>
    <cellStyle name="Normal 2 29 2 2 3 2 12" xfId="6694"/>
    <cellStyle name="Normal 2 29 2 2 3 2 2" xfId="6695"/>
    <cellStyle name="Normal 2 29 2 2 3 2 2 10" xfId="6696"/>
    <cellStyle name="Normal 2 29 2 2 3 2 2 11" xfId="6697"/>
    <cellStyle name="Normal 2 29 2 2 3 2 2 2" xfId="6698"/>
    <cellStyle name="Normal 2 29 2 2 3 2 2 2 10" xfId="6699"/>
    <cellStyle name="Normal 2 29 2 2 3 2 2 2 11" xfId="6700"/>
    <cellStyle name="Normal 2 29 2 2 3 2 2 2 2" xfId="6701"/>
    <cellStyle name="Normal 2 29 2 2 3 2 2 2 2 2" xfId="6702"/>
    <cellStyle name="Normal 2 29 2 2 3 2 2 2 3" xfId="6703"/>
    <cellStyle name="Normal 2 29 2 2 3 2 2 2 4" xfId="6704"/>
    <cellStyle name="Normal 2 29 2 2 3 2 2 2 5" xfId="6705"/>
    <cellStyle name="Normal 2 29 2 2 3 2 2 2 6" xfId="6706"/>
    <cellStyle name="Normal 2 29 2 2 3 2 2 2 7" xfId="6707"/>
    <cellStyle name="Normal 2 29 2 2 3 2 2 2 8" xfId="6708"/>
    <cellStyle name="Normal 2 29 2 2 3 2 2 2 9" xfId="6709"/>
    <cellStyle name="Normal 2 29 2 2 3 2 2 3" xfId="6710"/>
    <cellStyle name="Normal 2 29 2 2 3 2 2 3 2" xfId="6711"/>
    <cellStyle name="Normal 2 29 2 2 3 2 2 4" xfId="6712"/>
    <cellStyle name="Normal 2 29 2 2 3 2 2 5" xfId="6713"/>
    <cellStyle name="Normal 2 29 2 2 3 2 2 6" xfId="6714"/>
    <cellStyle name="Normal 2 29 2 2 3 2 2 7" xfId="6715"/>
    <cellStyle name="Normal 2 29 2 2 3 2 2 8" xfId="6716"/>
    <cellStyle name="Normal 2 29 2 2 3 2 2 9" xfId="6717"/>
    <cellStyle name="Normal 2 29 2 2 3 2 3" xfId="6718"/>
    <cellStyle name="Normal 2 29 2 2 3 2 3 2" xfId="6719"/>
    <cellStyle name="Normal 2 29 2 2 3 2 4" xfId="6720"/>
    <cellStyle name="Normal 2 29 2 2 3 2 5" xfId="6721"/>
    <cellStyle name="Normal 2 29 2 2 3 2 6" xfId="6722"/>
    <cellStyle name="Normal 2 29 2 2 3 2 7" xfId="6723"/>
    <cellStyle name="Normal 2 29 2 2 3 2 8" xfId="6724"/>
    <cellStyle name="Normal 2 29 2 2 3 2 9" xfId="6725"/>
    <cellStyle name="Normal 2 29 2 2 3 3" xfId="6726"/>
    <cellStyle name="Normal 2 29 2 2 3 3 10" xfId="6727"/>
    <cellStyle name="Normal 2 29 2 2 3 3 11" xfId="6728"/>
    <cellStyle name="Normal 2 29 2 2 3 3 2" xfId="6729"/>
    <cellStyle name="Normal 2 29 2 2 3 3 2 2" xfId="6730"/>
    <cellStyle name="Normal 2 29 2 2 3 3 3" xfId="6731"/>
    <cellStyle name="Normal 2 29 2 2 3 3 4" xfId="6732"/>
    <cellStyle name="Normal 2 29 2 2 3 3 5" xfId="6733"/>
    <cellStyle name="Normal 2 29 2 2 3 3 6" xfId="6734"/>
    <cellStyle name="Normal 2 29 2 2 3 3 7" xfId="6735"/>
    <cellStyle name="Normal 2 29 2 2 3 3 8" xfId="6736"/>
    <cellStyle name="Normal 2 29 2 2 3 3 9" xfId="6737"/>
    <cellStyle name="Normal 2 29 2 2 3 4" xfId="6738"/>
    <cellStyle name="Normal 2 29 2 2 3 4 2" xfId="6739"/>
    <cellStyle name="Normal 2 29 2 2 3 5" xfId="6740"/>
    <cellStyle name="Normal 2 29 2 2 3 6" xfId="6741"/>
    <cellStyle name="Normal 2 29 2 2 3 7" xfId="6742"/>
    <cellStyle name="Normal 2 29 2 2 3 8" xfId="6743"/>
    <cellStyle name="Normal 2 29 2 2 3 9" xfId="6744"/>
    <cellStyle name="Normal 2 29 2 2 4" xfId="6745"/>
    <cellStyle name="Normal 2 29 2 2 4 10" xfId="6746"/>
    <cellStyle name="Normal 2 29 2 2 4 11" xfId="6747"/>
    <cellStyle name="Normal 2 29 2 2 4 2" xfId="6748"/>
    <cellStyle name="Normal 2 29 2 2 4 2 10" xfId="6749"/>
    <cellStyle name="Normal 2 29 2 2 4 2 11" xfId="6750"/>
    <cellStyle name="Normal 2 29 2 2 4 2 2" xfId="6751"/>
    <cellStyle name="Normal 2 29 2 2 4 2 2 2" xfId="6752"/>
    <cellStyle name="Normal 2 29 2 2 4 2 3" xfId="6753"/>
    <cellStyle name="Normal 2 29 2 2 4 2 4" xfId="6754"/>
    <cellStyle name="Normal 2 29 2 2 4 2 5" xfId="6755"/>
    <cellStyle name="Normal 2 29 2 2 4 2 6" xfId="6756"/>
    <cellStyle name="Normal 2 29 2 2 4 2 7" xfId="6757"/>
    <cellStyle name="Normal 2 29 2 2 4 2 8" xfId="6758"/>
    <cellStyle name="Normal 2 29 2 2 4 2 9" xfId="6759"/>
    <cellStyle name="Normal 2 29 2 2 4 3" xfId="6760"/>
    <cellStyle name="Normal 2 29 2 2 4 3 2" xfId="6761"/>
    <cellStyle name="Normal 2 29 2 2 4 4" xfId="6762"/>
    <cellStyle name="Normal 2 29 2 2 4 5" xfId="6763"/>
    <cellStyle name="Normal 2 29 2 2 4 6" xfId="6764"/>
    <cellStyle name="Normal 2 29 2 2 4 7" xfId="6765"/>
    <cellStyle name="Normal 2 29 2 2 4 8" xfId="6766"/>
    <cellStyle name="Normal 2 29 2 2 4 9" xfId="6767"/>
    <cellStyle name="Normal 2 29 2 2 5" xfId="6768"/>
    <cellStyle name="Normal 2 29 2 2 5 2" xfId="6769"/>
    <cellStyle name="Normal 2 29 2 2 6" xfId="6770"/>
    <cellStyle name="Normal 2 29 2 2 7" xfId="6771"/>
    <cellStyle name="Normal 2 29 2 2 8" xfId="6772"/>
    <cellStyle name="Normal 2 29 2 2 9" xfId="6773"/>
    <cellStyle name="Normal 2 29 2 3" xfId="6774"/>
    <cellStyle name="Normal 2 29 2 3 10" xfId="6775"/>
    <cellStyle name="Normal 2 29 2 3 11" xfId="6776"/>
    <cellStyle name="Normal 2 29 2 3 12" xfId="6777"/>
    <cellStyle name="Normal 2 29 2 3 13" xfId="6778"/>
    <cellStyle name="Normal 2 29 2 3 2" xfId="6779"/>
    <cellStyle name="Normal 2 29 2 3 2 10" xfId="6780"/>
    <cellStyle name="Normal 2 29 2 3 2 11" xfId="6781"/>
    <cellStyle name="Normal 2 29 2 3 2 12" xfId="6782"/>
    <cellStyle name="Normal 2 29 2 3 2 2" xfId="6783"/>
    <cellStyle name="Normal 2 29 2 3 2 2 10" xfId="6784"/>
    <cellStyle name="Normal 2 29 2 3 2 2 11" xfId="6785"/>
    <cellStyle name="Normal 2 29 2 3 2 2 12" xfId="6786"/>
    <cellStyle name="Normal 2 29 2 3 2 2 2" xfId="6787"/>
    <cellStyle name="Normal 2 29 2 3 2 2 2 10" xfId="6788"/>
    <cellStyle name="Normal 2 29 2 3 2 2 2 11" xfId="6789"/>
    <cellStyle name="Normal 2 29 2 3 2 2 2 2" xfId="6790"/>
    <cellStyle name="Normal 2 29 2 3 2 2 2 2 10" xfId="6791"/>
    <cellStyle name="Normal 2 29 2 3 2 2 2 2 11" xfId="6792"/>
    <cellStyle name="Normal 2 29 2 3 2 2 2 2 2" xfId="6793"/>
    <cellStyle name="Normal 2 29 2 3 2 2 2 2 2 2" xfId="6794"/>
    <cellStyle name="Normal 2 29 2 3 2 2 2 2 3" xfId="6795"/>
    <cellStyle name="Normal 2 29 2 3 2 2 2 2 4" xfId="6796"/>
    <cellStyle name="Normal 2 29 2 3 2 2 2 2 5" xfId="6797"/>
    <cellStyle name="Normal 2 29 2 3 2 2 2 2 6" xfId="6798"/>
    <cellStyle name="Normal 2 29 2 3 2 2 2 2 7" xfId="6799"/>
    <cellStyle name="Normal 2 29 2 3 2 2 2 2 8" xfId="6800"/>
    <cellStyle name="Normal 2 29 2 3 2 2 2 2 9" xfId="6801"/>
    <cellStyle name="Normal 2 29 2 3 2 2 2 3" xfId="6802"/>
    <cellStyle name="Normal 2 29 2 3 2 2 2 3 2" xfId="6803"/>
    <cellStyle name="Normal 2 29 2 3 2 2 2 4" xfId="6804"/>
    <cellStyle name="Normal 2 29 2 3 2 2 2 5" xfId="6805"/>
    <cellStyle name="Normal 2 29 2 3 2 2 2 6" xfId="6806"/>
    <cellStyle name="Normal 2 29 2 3 2 2 2 7" xfId="6807"/>
    <cellStyle name="Normal 2 29 2 3 2 2 2 8" xfId="6808"/>
    <cellStyle name="Normal 2 29 2 3 2 2 2 9" xfId="6809"/>
    <cellStyle name="Normal 2 29 2 3 2 2 3" xfId="6810"/>
    <cellStyle name="Normal 2 29 2 3 2 2 3 2" xfId="6811"/>
    <cellStyle name="Normal 2 29 2 3 2 2 4" xfId="6812"/>
    <cellStyle name="Normal 2 29 2 3 2 2 5" xfId="6813"/>
    <cellStyle name="Normal 2 29 2 3 2 2 6" xfId="6814"/>
    <cellStyle name="Normal 2 29 2 3 2 2 7" xfId="6815"/>
    <cellStyle name="Normal 2 29 2 3 2 2 8" xfId="6816"/>
    <cellStyle name="Normal 2 29 2 3 2 2 9" xfId="6817"/>
    <cellStyle name="Normal 2 29 2 3 2 3" xfId="6818"/>
    <cellStyle name="Normal 2 29 2 3 2 3 10" xfId="6819"/>
    <cellStyle name="Normal 2 29 2 3 2 3 11" xfId="6820"/>
    <cellStyle name="Normal 2 29 2 3 2 3 2" xfId="6821"/>
    <cellStyle name="Normal 2 29 2 3 2 3 2 2" xfId="6822"/>
    <cellStyle name="Normal 2 29 2 3 2 3 3" xfId="6823"/>
    <cellStyle name="Normal 2 29 2 3 2 3 4" xfId="6824"/>
    <cellStyle name="Normal 2 29 2 3 2 3 5" xfId="6825"/>
    <cellStyle name="Normal 2 29 2 3 2 3 6" xfId="6826"/>
    <cellStyle name="Normal 2 29 2 3 2 3 7" xfId="6827"/>
    <cellStyle name="Normal 2 29 2 3 2 3 8" xfId="6828"/>
    <cellStyle name="Normal 2 29 2 3 2 3 9" xfId="6829"/>
    <cellStyle name="Normal 2 29 2 3 2 4" xfId="6830"/>
    <cellStyle name="Normal 2 29 2 3 2 4 2" xfId="6831"/>
    <cellStyle name="Normal 2 29 2 3 2 5" xfId="6832"/>
    <cellStyle name="Normal 2 29 2 3 2 6" xfId="6833"/>
    <cellStyle name="Normal 2 29 2 3 2 7" xfId="6834"/>
    <cellStyle name="Normal 2 29 2 3 2 8" xfId="6835"/>
    <cellStyle name="Normal 2 29 2 3 2 9" xfId="6836"/>
    <cellStyle name="Normal 2 29 2 3 3" xfId="6837"/>
    <cellStyle name="Normal 2 29 2 3 3 10" xfId="6838"/>
    <cellStyle name="Normal 2 29 2 3 3 11" xfId="6839"/>
    <cellStyle name="Normal 2 29 2 3 3 2" xfId="6840"/>
    <cellStyle name="Normal 2 29 2 3 3 2 10" xfId="6841"/>
    <cellStyle name="Normal 2 29 2 3 3 2 11" xfId="6842"/>
    <cellStyle name="Normal 2 29 2 3 3 2 2" xfId="6843"/>
    <cellStyle name="Normal 2 29 2 3 3 2 2 2" xfId="6844"/>
    <cellStyle name="Normal 2 29 2 3 3 2 3" xfId="6845"/>
    <cellStyle name="Normal 2 29 2 3 3 2 4" xfId="6846"/>
    <cellStyle name="Normal 2 29 2 3 3 2 5" xfId="6847"/>
    <cellStyle name="Normal 2 29 2 3 3 2 6" xfId="6848"/>
    <cellStyle name="Normal 2 29 2 3 3 2 7" xfId="6849"/>
    <cellStyle name="Normal 2 29 2 3 3 2 8" xfId="6850"/>
    <cellStyle name="Normal 2 29 2 3 3 2 9" xfId="6851"/>
    <cellStyle name="Normal 2 29 2 3 3 3" xfId="6852"/>
    <cellStyle name="Normal 2 29 2 3 3 3 2" xfId="6853"/>
    <cellStyle name="Normal 2 29 2 3 3 4" xfId="6854"/>
    <cellStyle name="Normal 2 29 2 3 3 5" xfId="6855"/>
    <cellStyle name="Normal 2 29 2 3 3 6" xfId="6856"/>
    <cellStyle name="Normal 2 29 2 3 3 7" xfId="6857"/>
    <cellStyle name="Normal 2 29 2 3 3 8" xfId="6858"/>
    <cellStyle name="Normal 2 29 2 3 3 9" xfId="6859"/>
    <cellStyle name="Normal 2 29 2 3 4" xfId="6860"/>
    <cellStyle name="Normal 2 29 2 3 4 2" xfId="6861"/>
    <cellStyle name="Normal 2 29 2 3 5" xfId="6862"/>
    <cellStyle name="Normal 2 29 2 3 6" xfId="6863"/>
    <cellStyle name="Normal 2 29 2 3 7" xfId="6864"/>
    <cellStyle name="Normal 2 29 2 3 8" xfId="6865"/>
    <cellStyle name="Normal 2 29 2 3 9" xfId="6866"/>
    <cellStyle name="Normal 2 29 2 4" xfId="6867"/>
    <cellStyle name="Normal 2 29 2 4 10" xfId="6868"/>
    <cellStyle name="Normal 2 29 2 4 11" xfId="6869"/>
    <cellStyle name="Normal 2 29 2 4 12" xfId="6870"/>
    <cellStyle name="Normal 2 29 2 4 2" xfId="6871"/>
    <cellStyle name="Normal 2 29 2 4 2 10" xfId="6872"/>
    <cellStyle name="Normal 2 29 2 4 2 11" xfId="6873"/>
    <cellStyle name="Normal 2 29 2 4 2 2" xfId="6874"/>
    <cellStyle name="Normal 2 29 2 4 2 2 10" xfId="6875"/>
    <cellStyle name="Normal 2 29 2 4 2 2 11" xfId="6876"/>
    <cellStyle name="Normal 2 29 2 4 2 2 2" xfId="6877"/>
    <cellStyle name="Normal 2 29 2 4 2 2 2 2" xfId="6878"/>
    <cellStyle name="Normal 2 29 2 4 2 2 3" xfId="6879"/>
    <cellStyle name="Normal 2 29 2 4 2 2 4" xfId="6880"/>
    <cellStyle name="Normal 2 29 2 4 2 2 5" xfId="6881"/>
    <cellStyle name="Normal 2 29 2 4 2 2 6" xfId="6882"/>
    <cellStyle name="Normal 2 29 2 4 2 2 7" xfId="6883"/>
    <cellStyle name="Normal 2 29 2 4 2 2 8" xfId="6884"/>
    <cellStyle name="Normal 2 29 2 4 2 2 9" xfId="6885"/>
    <cellStyle name="Normal 2 29 2 4 2 3" xfId="6886"/>
    <cellStyle name="Normal 2 29 2 4 2 3 2" xfId="6887"/>
    <cellStyle name="Normal 2 29 2 4 2 4" xfId="6888"/>
    <cellStyle name="Normal 2 29 2 4 2 5" xfId="6889"/>
    <cellStyle name="Normal 2 29 2 4 2 6" xfId="6890"/>
    <cellStyle name="Normal 2 29 2 4 2 7" xfId="6891"/>
    <cellStyle name="Normal 2 29 2 4 2 8" xfId="6892"/>
    <cellStyle name="Normal 2 29 2 4 2 9" xfId="6893"/>
    <cellStyle name="Normal 2 29 2 4 3" xfId="6894"/>
    <cellStyle name="Normal 2 29 2 4 3 2" xfId="6895"/>
    <cellStyle name="Normal 2 29 2 4 4" xfId="6896"/>
    <cellStyle name="Normal 2 29 2 4 5" xfId="6897"/>
    <cellStyle name="Normal 2 29 2 4 6" xfId="6898"/>
    <cellStyle name="Normal 2 29 2 4 7" xfId="6899"/>
    <cellStyle name="Normal 2 29 2 4 8" xfId="6900"/>
    <cellStyle name="Normal 2 29 2 4 9" xfId="6901"/>
    <cellStyle name="Normal 2 29 2 5" xfId="6902"/>
    <cellStyle name="Normal 2 29 2 5 10" xfId="6903"/>
    <cellStyle name="Normal 2 29 2 5 11" xfId="6904"/>
    <cellStyle name="Normal 2 29 2 5 2" xfId="6905"/>
    <cellStyle name="Normal 2 29 2 5 2 2" xfId="6906"/>
    <cellStyle name="Normal 2 29 2 5 3" xfId="6907"/>
    <cellStyle name="Normal 2 29 2 5 4" xfId="6908"/>
    <cellStyle name="Normal 2 29 2 5 5" xfId="6909"/>
    <cellStyle name="Normal 2 29 2 5 6" xfId="6910"/>
    <cellStyle name="Normal 2 29 2 5 7" xfId="6911"/>
    <cellStyle name="Normal 2 29 2 5 8" xfId="6912"/>
    <cellStyle name="Normal 2 29 2 5 9" xfId="6913"/>
    <cellStyle name="Normal 2 29 2 6" xfId="6914"/>
    <cellStyle name="Normal 2 29 2 6 2" xfId="6915"/>
    <cellStyle name="Normal 2 29 2 7" xfId="6916"/>
    <cellStyle name="Normal 2 29 2 8" xfId="6917"/>
    <cellStyle name="Normal 2 29 2 9" xfId="6918"/>
    <cellStyle name="Normal 2 29 3" xfId="6919"/>
    <cellStyle name="Normal 2 29 3 10" xfId="6920"/>
    <cellStyle name="Normal 2 29 3 11" xfId="6921"/>
    <cellStyle name="Normal 2 29 3 12" xfId="6922"/>
    <cellStyle name="Normal 2 29 3 13" xfId="6923"/>
    <cellStyle name="Normal 2 29 3 2" xfId="6924"/>
    <cellStyle name="Normal 2 29 3 2 10" xfId="6925"/>
    <cellStyle name="Normal 2 29 3 2 11" xfId="6926"/>
    <cellStyle name="Normal 2 29 3 2 12" xfId="6927"/>
    <cellStyle name="Normal 2 29 3 2 13" xfId="6928"/>
    <cellStyle name="Normal 2 29 3 2 2" xfId="6929"/>
    <cellStyle name="Normal 2 29 3 2 2 10" xfId="6930"/>
    <cellStyle name="Normal 2 29 3 2 2 11" xfId="6931"/>
    <cellStyle name="Normal 2 29 3 2 2 12" xfId="6932"/>
    <cellStyle name="Normal 2 29 3 2 2 2" xfId="6933"/>
    <cellStyle name="Normal 2 29 3 2 2 2 10" xfId="6934"/>
    <cellStyle name="Normal 2 29 3 2 2 2 11" xfId="6935"/>
    <cellStyle name="Normal 2 29 3 2 2 2 12" xfId="6936"/>
    <cellStyle name="Normal 2 29 3 2 2 2 2" xfId="6937"/>
    <cellStyle name="Normal 2 29 3 2 2 2 2 10" xfId="6938"/>
    <cellStyle name="Normal 2 29 3 2 2 2 2 11" xfId="6939"/>
    <cellStyle name="Normal 2 29 3 2 2 2 2 2" xfId="6940"/>
    <cellStyle name="Normal 2 29 3 2 2 2 2 2 10" xfId="6941"/>
    <cellStyle name="Normal 2 29 3 2 2 2 2 2 11" xfId="6942"/>
    <cellStyle name="Normal 2 29 3 2 2 2 2 2 2" xfId="6943"/>
    <cellStyle name="Normal 2 29 3 2 2 2 2 2 2 2" xfId="6944"/>
    <cellStyle name="Normal 2 29 3 2 2 2 2 2 3" xfId="6945"/>
    <cellStyle name="Normal 2 29 3 2 2 2 2 2 4" xfId="6946"/>
    <cellStyle name="Normal 2 29 3 2 2 2 2 2 5" xfId="6947"/>
    <cellStyle name="Normal 2 29 3 2 2 2 2 2 6" xfId="6948"/>
    <cellStyle name="Normal 2 29 3 2 2 2 2 2 7" xfId="6949"/>
    <cellStyle name="Normal 2 29 3 2 2 2 2 2 8" xfId="6950"/>
    <cellStyle name="Normal 2 29 3 2 2 2 2 2 9" xfId="6951"/>
    <cellStyle name="Normal 2 29 3 2 2 2 2 3" xfId="6952"/>
    <cellStyle name="Normal 2 29 3 2 2 2 2 3 2" xfId="6953"/>
    <cellStyle name="Normal 2 29 3 2 2 2 2 4" xfId="6954"/>
    <cellStyle name="Normal 2 29 3 2 2 2 2 5" xfId="6955"/>
    <cellStyle name="Normal 2 29 3 2 2 2 2 6" xfId="6956"/>
    <cellStyle name="Normal 2 29 3 2 2 2 2 7" xfId="6957"/>
    <cellStyle name="Normal 2 29 3 2 2 2 2 8" xfId="6958"/>
    <cellStyle name="Normal 2 29 3 2 2 2 2 9" xfId="6959"/>
    <cellStyle name="Normal 2 29 3 2 2 2 3" xfId="6960"/>
    <cellStyle name="Normal 2 29 3 2 2 2 3 2" xfId="6961"/>
    <cellStyle name="Normal 2 29 3 2 2 2 4" xfId="6962"/>
    <cellStyle name="Normal 2 29 3 2 2 2 5" xfId="6963"/>
    <cellStyle name="Normal 2 29 3 2 2 2 6" xfId="6964"/>
    <cellStyle name="Normal 2 29 3 2 2 2 7" xfId="6965"/>
    <cellStyle name="Normal 2 29 3 2 2 2 8" xfId="6966"/>
    <cellStyle name="Normal 2 29 3 2 2 2 9" xfId="6967"/>
    <cellStyle name="Normal 2 29 3 2 2 3" xfId="6968"/>
    <cellStyle name="Normal 2 29 3 2 2 3 10" xfId="6969"/>
    <cellStyle name="Normal 2 29 3 2 2 3 11" xfId="6970"/>
    <cellStyle name="Normal 2 29 3 2 2 3 2" xfId="6971"/>
    <cellStyle name="Normal 2 29 3 2 2 3 2 2" xfId="6972"/>
    <cellStyle name="Normal 2 29 3 2 2 3 3" xfId="6973"/>
    <cellStyle name="Normal 2 29 3 2 2 3 4" xfId="6974"/>
    <cellStyle name="Normal 2 29 3 2 2 3 5" xfId="6975"/>
    <cellStyle name="Normal 2 29 3 2 2 3 6" xfId="6976"/>
    <cellStyle name="Normal 2 29 3 2 2 3 7" xfId="6977"/>
    <cellStyle name="Normal 2 29 3 2 2 3 8" xfId="6978"/>
    <cellStyle name="Normal 2 29 3 2 2 3 9" xfId="6979"/>
    <cellStyle name="Normal 2 29 3 2 2 4" xfId="6980"/>
    <cellStyle name="Normal 2 29 3 2 2 4 2" xfId="6981"/>
    <cellStyle name="Normal 2 29 3 2 2 5" xfId="6982"/>
    <cellStyle name="Normal 2 29 3 2 2 6" xfId="6983"/>
    <cellStyle name="Normal 2 29 3 2 2 7" xfId="6984"/>
    <cellStyle name="Normal 2 29 3 2 2 8" xfId="6985"/>
    <cellStyle name="Normal 2 29 3 2 2 9" xfId="6986"/>
    <cellStyle name="Normal 2 29 3 2 3" xfId="6987"/>
    <cellStyle name="Normal 2 29 3 2 3 10" xfId="6988"/>
    <cellStyle name="Normal 2 29 3 2 3 11" xfId="6989"/>
    <cellStyle name="Normal 2 29 3 2 3 2" xfId="6990"/>
    <cellStyle name="Normal 2 29 3 2 3 2 10" xfId="6991"/>
    <cellStyle name="Normal 2 29 3 2 3 2 11" xfId="6992"/>
    <cellStyle name="Normal 2 29 3 2 3 2 2" xfId="6993"/>
    <cellStyle name="Normal 2 29 3 2 3 2 2 2" xfId="6994"/>
    <cellStyle name="Normal 2 29 3 2 3 2 3" xfId="6995"/>
    <cellStyle name="Normal 2 29 3 2 3 2 4" xfId="6996"/>
    <cellStyle name="Normal 2 29 3 2 3 2 5" xfId="6997"/>
    <cellStyle name="Normal 2 29 3 2 3 2 6" xfId="6998"/>
    <cellStyle name="Normal 2 29 3 2 3 2 7" xfId="6999"/>
    <cellStyle name="Normal 2 29 3 2 3 2 8" xfId="7000"/>
    <cellStyle name="Normal 2 29 3 2 3 2 9" xfId="7001"/>
    <cellStyle name="Normal 2 29 3 2 3 3" xfId="7002"/>
    <cellStyle name="Normal 2 29 3 2 3 3 2" xfId="7003"/>
    <cellStyle name="Normal 2 29 3 2 3 4" xfId="7004"/>
    <cellStyle name="Normal 2 29 3 2 3 5" xfId="7005"/>
    <cellStyle name="Normal 2 29 3 2 3 6" xfId="7006"/>
    <cellStyle name="Normal 2 29 3 2 3 7" xfId="7007"/>
    <cellStyle name="Normal 2 29 3 2 3 8" xfId="7008"/>
    <cellStyle name="Normal 2 29 3 2 3 9" xfId="7009"/>
    <cellStyle name="Normal 2 29 3 2 4" xfId="7010"/>
    <cellStyle name="Normal 2 29 3 2 4 2" xfId="7011"/>
    <cellStyle name="Normal 2 29 3 2 5" xfId="7012"/>
    <cellStyle name="Normal 2 29 3 2 6" xfId="7013"/>
    <cellStyle name="Normal 2 29 3 2 7" xfId="7014"/>
    <cellStyle name="Normal 2 29 3 2 8" xfId="7015"/>
    <cellStyle name="Normal 2 29 3 2 9" xfId="7016"/>
    <cellStyle name="Normal 2 29 3 3" xfId="7017"/>
    <cellStyle name="Normal 2 29 3 3 10" xfId="7018"/>
    <cellStyle name="Normal 2 29 3 3 11" xfId="7019"/>
    <cellStyle name="Normal 2 29 3 3 12" xfId="7020"/>
    <cellStyle name="Normal 2 29 3 3 2" xfId="7021"/>
    <cellStyle name="Normal 2 29 3 3 2 10" xfId="7022"/>
    <cellStyle name="Normal 2 29 3 3 2 11" xfId="7023"/>
    <cellStyle name="Normal 2 29 3 3 2 2" xfId="7024"/>
    <cellStyle name="Normal 2 29 3 3 2 2 10" xfId="7025"/>
    <cellStyle name="Normal 2 29 3 3 2 2 11" xfId="7026"/>
    <cellStyle name="Normal 2 29 3 3 2 2 2" xfId="7027"/>
    <cellStyle name="Normal 2 29 3 3 2 2 2 2" xfId="7028"/>
    <cellStyle name="Normal 2 29 3 3 2 2 3" xfId="7029"/>
    <cellStyle name="Normal 2 29 3 3 2 2 4" xfId="7030"/>
    <cellStyle name="Normal 2 29 3 3 2 2 5" xfId="7031"/>
    <cellStyle name="Normal 2 29 3 3 2 2 6" xfId="7032"/>
    <cellStyle name="Normal 2 29 3 3 2 2 7" xfId="7033"/>
    <cellStyle name="Normal 2 29 3 3 2 2 8" xfId="7034"/>
    <cellStyle name="Normal 2 29 3 3 2 2 9" xfId="7035"/>
    <cellStyle name="Normal 2 29 3 3 2 3" xfId="7036"/>
    <cellStyle name="Normal 2 29 3 3 2 3 2" xfId="7037"/>
    <cellStyle name="Normal 2 29 3 3 2 4" xfId="7038"/>
    <cellStyle name="Normal 2 29 3 3 2 5" xfId="7039"/>
    <cellStyle name="Normal 2 29 3 3 2 6" xfId="7040"/>
    <cellStyle name="Normal 2 29 3 3 2 7" xfId="7041"/>
    <cellStyle name="Normal 2 29 3 3 2 8" xfId="7042"/>
    <cellStyle name="Normal 2 29 3 3 2 9" xfId="7043"/>
    <cellStyle name="Normal 2 29 3 3 3" xfId="7044"/>
    <cellStyle name="Normal 2 29 3 3 3 2" xfId="7045"/>
    <cellStyle name="Normal 2 29 3 3 4" xfId="7046"/>
    <cellStyle name="Normal 2 29 3 3 5" xfId="7047"/>
    <cellStyle name="Normal 2 29 3 3 6" xfId="7048"/>
    <cellStyle name="Normal 2 29 3 3 7" xfId="7049"/>
    <cellStyle name="Normal 2 29 3 3 8" xfId="7050"/>
    <cellStyle name="Normal 2 29 3 3 9" xfId="7051"/>
    <cellStyle name="Normal 2 29 3 4" xfId="7052"/>
    <cellStyle name="Normal 2 29 3 4 10" xfId="7053"/>
    <cellStyle name="Normal 2 29 3 4 11" xfId="7054"/>
    <cellStyle name="Normal 2 29 3 4 2" xfId="7055"/>
    <cellStyle name="Normal 2 29 3 4 2 2" xfId="7056"/>
    <cellStyle name="Normal 2 29 3 4 3" xfId="7057"/>
    <cellStyle name="Normal 2 29 3 4 4" xfId="7058"/>
    <cellStyle name="Normal 2 29 3 4 5" xfId="7059"/>
    <cellStyle name="Normal 2 29 3 4 6" xfId="7060"/>
    <cellStyle name="Normal 2 29 3 4 7" xfId="7061"/>
    <cellStyle name="Normal 2 29 3 4 8" xfId="7062"/>
    <cellStyle name="Normal 2 29 3 4 9" xfId="7063"/>
    <cellStyle name="Normal 2 29 3 5" xfId="7064"/>
    <cellStyle name="Normal 2 29 3 5 2" xfId="7065"/>
    <cellStyle name="Normal 2 29 3 6" xfId="7066"/>
    <cellStyle name="Normal 2 29 3 7" xfId="7067"/>
    <cellStyle name="Normal 2 29 3 8" xfId="7068"/>
    <cellStyle name="Normal 2 29 3 9" xfId="7069"/>
    <cellStyle name="Normal 2 29 4" xfId="7070"/>
    <cellStyle name="Normal 2 29 4 10" xfId="7071"/>
    <cellStyle name="Normal 2 29 4 11" xfId="7072"/>
    <cellStyle name="Normal 2 29 4 12" xfId="7073"/>
    <cellStyle name="Normal 2 29 4 2" xfId="7074"/>
    <cellStyle name="Normal 2 29 4 2 10" xfId="7075"/>
    <cellStyle name="Normal 2 29 4 2 11" xfId="7076"/>
    <cellStyle name="Normal 2 29 4 2 12" xfId="7077"/>
    <cellStyle name="Normal 2 29 4 2 2" xfId="7078"/>
    <cellStyle name="Normal 2 29 4 2 2 10" xfId="7079"/>
    <cellStyle name="Normal 2 29 4 2 2 11" xfId="7080"/>
    <cellStyle name="Normal 2 29 4 2 2 2" xfId="7081"/>
    <cellStyle name="Normal 2 29 4 2 2 2 10" xfId="7082"/>
    <cellStyle name="Normal 2 29 4 2 2 2 11" xfId="7083"/>
    <cellStyle name="Normal 2 29 4 2 2 2 2" xfId="7084"/>
    <cellStyle name="Normal 2 29 4 2 2 2 2 2" xfId="7085"/>
    <cellStyle name="Normal 2 29 4 2 2 2 3" xfId="7086"/>
    <cellStyle name="Normal 2 29 4 2 2 2 4" xfId="7087"/>
    <cellStyle name="Normal 2 29 4 2 2 2 5" xfId="7088"/>
    <cellStyle name="Normal 2 29 4 2 2 2 6" xfId="7089"/>
    <cellStyle name="Normal 2 29 4 2 2 2 7" xfId="7090"/>
    <cellStyle name="Normal 2 29 4 2 2 2 8" xfId="7091"/>
    <cellStyle name="Normal 2 29 4 2 2 2 9" xfId="7092"/>
    <cellStyle name="Normal 2 29 4 2 2 3" xfId="7093"/>
    <cellStyle name="Normal 2 29 4 2 2 3 2" xfId="7094"/>
    <cellStyle name="Normal 2 29 4 2 2 4" xfId="7095"/>
    <cellStyle name="Normal 2 29 4 2 2 5" xfId="7096"/>
    <cellStyle name="Normal 2 29 4 2 2 6" xfId="7097"/>
    <cellStyle name="Normal 2 29 4 2 2 7" xfId="7098"/>
    <cellStyle name="Normal 2 29 4 2 2 8" xfId="7099"/>
    <cellStyle name="Normal 2 29 4 2 2 9" xfId="7100"/>
    <cellStyle name="Normal 2 29 4 2 3" xfId="7101"/>
    <cellStyle name="Normal 2 29 4 2 3 2" xfId="7102"/>
    <cellStyle name="Normal 2 29 4 2 4" xfId="7103"/>
    <cellStyle name="Normal 2 29 4 2 5" xfId="7104"/>
    <cellStyle name="Normal 2 29 4 2 6" xfId="7105"/>
    <cellStyle name="Normal 2 29 4 2 7" xfId="7106"/>
    <cellStyle name="Normal 2 29 4 2 8" xfId="7107"/>
    <cellStyle name="Normal 2 29 4 2 9" xfId="7108"/>
    <cellStyle name="Normal 2 29 4 3" xfId="7109"/>
    <cellStyle name="Normal 2 29 4 3 10" xfId="7110"/>
    <cellStyle name="Normal 2 29 4 3 11" xfId="7111"/>
    <cellStyle name="Normal 2 29 4 3 2" xfId="7112"/>
    <cellStyle name="Normal 2 29 4 3 2 2" xfId="7113"/>
    <cellStyle name="Normal 2 29 4 3 3" xfId="7114"/>
    <cellStyle name="Normal 2 29 4 3 4" xfId="7115"/>
    <cellStyle name="Normal 2 29 4 3 5" xfId="7116"/>
    <cellStyle name="Normal 2 29 4 3 6" xfId="7117"/>
    <cellStyle name="Normal 2 29 4 3 7" xfId="7118"/>
    <cellStyle name="Normal 2 29 4 3 8" xfId="7119"/>
    <cellStyle name="Normal 2 29 4 3 9" xfId="7120"/>
    <cellStyle name="Normal 2 29 4 4" xfId="7121"/>
    <cellStyle name="Normal 2 29 4 4 2" xfId="7122"/>
    <cellStyle name="Normal 2 29 4 5" xfId="7123"/>
    <cellStyle name="Normal 2 29 4 6" xfId="7124"/>
    <cellStyle name="Normal 2 29 4 7" xfId="7125"/>
    <cellStyle name="Normal 2 29 4 8" xfId="7126"/>
    <cellStyle name="Normal 2 29 4 9" xfId="7127"/>
    <cellStyle name="Normal 2 29 5" xfId="7128"/>
    <cellStyle name="Normal 2 29 5 10" xfId="7129"/>
    <cellStyle name="Normal 2 29 5 11" xfId="7130"/>
    <cellStyle name="Normal 2 29 5 2" xfId="7131"/>
    <cellStyle name="Normal 2 29 5 2 10" xfId="7132"/>
    <cellStyle name="Normal 2 29 5 2 11" xfId="7133"/>
    <cellStyle name="Normal 2 29 5 2 2" xfId="7134"/>
    <cellStyle name="Normal 2 29 5 2 2 2" xfId="7135"/>
    <cellStyle name="Normal 2 29 5 2 3" xfId="7136"/>
    <cellStyle name="Normal 2 29 5 2 4" xfId="7137"/>
    <cellStyle name="Normal 2 29 5 2 5" xfId="7138"/>
    <cellStyle name="Normal 2 29 5 2 6" xfId="7139"/>
    <cellStyle name="Normal 2 29 5 2 7" xfId="7140"/>
    <cellStyle name="Normal 2 29 5 2 8" xfId="7141"/>
    <cellStyle name="Normal 2 29 5 2 9" xfId="7142"/>
    <cellStyle name="Normal 2 29 5 3" xfId="7143"/>
    <cellStyle name="Normal 2 29 5 3 2" xfId="7144"/>
    <cellStyle name="Normal 2 29 5 4" xfId="7145"/>
    <cellStyle name="Normal 2 29 5 5" xfId="7146"/>
    <cellStyle name="Normal 2 29 5 6" xfId="7147"/>
    <cellStyle name="Normal 2 29 5 7" xfId="7148"/>
    <cellStyle name="Normal 2 29 5 8" xfId="7149"/>
    <cellStyle name="Normal 2 29 5 9" xfId="7150"/>
    <cellStyle name="Normal 2 29 6" xfId="7151"/>
    <cellStyle name="Normal 2 29 6 2" xfId="7152"/>
    <cellStyle name="Normal 2 29 7" xfId="7153"/>
    <cellStyle name="Normal 2 29 8" xfId="7154"/>
    <cellStyle name="Normal 2 29 9" xfId="7155"/>
    <cellStyle name="Normal 2 3" xfId="7156"/>
    <cellStyle name="Normal 2 3 10" xfId="7157"/>
    <cellStyle name="Normal 2 3 11" xfId="7158"/>
    <cellStyle name="Normal 2 3 12" xfId="7159"/>
    <cellStyle name="Normal 2 3 13" xfId="7160"/>
    <cellStyle name="Normal 2 3 14" xfId="7161"/>
    <cellStyle name="Normal 2 3 15" xfId="7162"/>
    <cellStyle name="Normal 2 3 16" xfId="7163"/>
    <cellStyle name="Normal 2 3 17" xfId="7164"/>
    <cellStyle name="Normal 2 3 18" xfId="7165"/>
    <cellStyle name="Normal 2 3 2" xfId="7166"/>
    <cellStyle name="Normal 2 3 3" xfId="7167"/>
    <cellStyle name="Normal 2 3 4" xfId="7168"/>
    <cellStyle name="Normal 2 3 5" xfId="7169"/>
    <cellStyle name="Normal 2 3 6" xfId="7170"/>
    <cellStyle name="Normal 2 3 7" xfId="7171"/>
    <cellStyle name="Normal 2 3 8" xfId="7172"/>
    <cellStyle name="Normal 2 3 9" xfId="7173"/>
    <cellStyle name="Normal 2 30" xfId="7174"/>
    <cellStyle name="Normal 2 31" xfId="7175"/>
    <cellStyle name="Normal 2 32" xfId="7176"/>
    <cellStyle name="Normal 2 33" xfId="7177"/>
    <cellStyle name="Normal 2 34" xfId="7178"/>
    <cellStyle name="Normal 2 35" xfId="7179"/>
    <cellStyle name="Normal 2 36" xfId="7180"/>
    <cellStyle name="Normal 2 37" xfId="7181"/>
    <cellStyle name="Normal 2 38" xfId="7182"/>
    <cellStyle name="Normal 2 39" xfId="7183"/>
    <cellStyle name="Normal 2 4" xfId="7184"/>
    <cellStyle name="Normal 2 40" xfId="7185"/>
    <cellStyle name="Normal 2 41" xfId="7186"/>
    <cellStyle name="Normal 2 42" xfId="7187"/>
    <cellStyle name="Normal 2 43" xfId="7188"/>
    <cellStyle name="Normal 2 43 2" xfId="7189"/>
    <cellStyle name="Normal 2 44" xfId="7190"/>
    <cellStyle name="Normal 2 45" xfId="7191"/>
    <cellStyle name="Normal 2 46" xfId="7192"/>
    <cellStyle name="Normal 2 47" xfId="7193"/>
    <cellStyle name="Normal 2 48" xfId="7194"/>
    <cellStyle name="Normal 2 49" xfId="7195"/>
    <cellStyle name="Normal 2 5" xfId="7196"/>
    <cellStyle name="Normal 2 50" xfId="7197"/>
    <cellStyle name="Normal 2 51" xfId="7198"/>
    <cellStyle name="Normal 2 52" xfId="7199"/>
    <cellStyle name="Normal 2 53" xfId="7200"/>
    <cellStyle name="Normal 2 54" xfId="7201"/>
    <cellStyle name="Normal 2 55" xfId="7202"/>
    <cellStyle name="Normal 2 56" xfId="7203"/>
    <cellStyle name="Normal 2 57" xfId="7204"/>
    <cellStyle name="Normal 2 58" xfId="7205"/>
    <cellStyle name="Normal 2 59" xfId="7206"/>
    <cellStyle name="Normal 2 59 2" xfId="7207"/>
    <cellStyle name="Normal 2 6" xfId="7208"/>
    <cellStyle name="Normal 2 60" xfId="7209"/>
    <cellStyle name="Normal 2 61" xfId="7210"/>
    <cellStyle name="Normal 2 62" xfId="7211"/>
    <cellStyle name="Normal 2 7" xfId="3"/>
    <cellStyle name="Normal 2 7 2" xfId="7212"/>
    <cellStyle name="Normal 2 8" xfId="7213"/>
    <cellStyle name="Normal 2 8 2" xfId="7214"/>
    <cellStyle name="Normal 2 8 2 2" xfId="7215"/>
    <cellStyle name="Normal 2 9" xfId="7216"/>
    <cellStyle name="Normal 20" xfId="7217"/>
    <cellStyle name="Normal 21" xfId="7218"/>
    <cellStyle name="Normal 22" xfId="7219"/>
    <cellStyle name="Normal 23" xfId="7220"/>
    <cellStyle name="Normal 24" xfId="7221"/>
    <cellStyle name="Normal 25" xfId="7222"/>
    <cellStyle name="Normal 26" xfId="7223"/>
    <cellStyle name="Normal 27" xfId="7224"/>
    <cellStyle name="Normal 27 2" xfId="7225"/>
    <cellStyle name="Normal 28" xfId="7226"/>
    <cellStyle name="Normal 29" xfId="7227"/>
    <cellStyle name="Normal 3" xfId="4"/>
    <cellStyle name="Normal 3 10" xfId="12"/>
    <cellStyle name="Normal 3 11" xfId="7228"/>
    <cellStyle name="Normal 3 12" xfId="7229"/>
    <cellStyle name="Normal 3 13" xfId="7230"/>
    <cellStyle name="Normal 3 14" xfId="7231"/>
    <cellStyle name="Normal 3 2" xfId="5"/>
    <cellStyle name="Normal 3 2 2" xfId="7232"/>
    <cellStyle name="Normal 3 2 3" xfId="7233"/>
    <cellStyle name="Normal 3 3" xfId="7234"/>
    <cellStyle name="Normal 3 4" xfId="7235"/>
    <cellStyle name="Normal 3 5" xfId="7236"/>
    <cellStyle name="Normal 3 6" xfId="7237"/>
    <cellStyle name="Normal 3 7" xfId="7238"/>
    <cellStyle name="Normal 3 8" xfId="7239"/>
    <cellStyle name="Normal 3 9" xfId="7240"/>
    <cellStyle name="Normal 30" xfId="7241"/>
    <cellStyle name="Normal 31" xfId="7242"/>
    <cellStyle name="Normal 32" xfId="7243"/>
    <cellStyle name="Normal 33" xfId="7244"/>
    <cellStyle name="Normal 34" xfId="7245"/>
    <cellStyle name="Normal 35" xfId="7246"/>
    <cellStyle name="Normal 36" xfId="7247"/>
    <cellStyle name="Normal 37" xfId="7248"/>
    <cellStyle name="Normal 37 2" xfId="7249"/>
    <cellStyle name="Normal 37 3" xfId="7250"/>
    <cellStyle name="Normal 38" xfId="7251"/>
    <cellStyle name="Normal 38 2" xfId="7252"/>
    <cellStyle name="Normal 39" xfId="7253"/>
    <cellStyle name="Normal 39 2" xfId="7254"/>
    <cellStyle name="Normal 4" xfId="6"/>
    <cellStyle name="Normal 4 10" xfId="7255"/>
    <cellStyle name="Normal 4 11" xfId="7256"/>
    <cellStyle name="Normal 4 12" xfId="7257"/>
    <cellStyle name="Normal 4 13" xfId="7258"/>
    <cellStyle name="Normal 4 14" xfId="7259"/>
    <cellStyle name="Normal 4 15" xfId="7260"/>
    <cellStyle name="Normal 4 16" xfId="7261"/>
    <cellStyle name="Normal 4 17" xfId="7262"/>
    <cellStyle name="Normal 4 18" xfId="7263"/>
    <cellStyle name="Normal 4 19" xfId="7264"/>
    <cellStyle name="Normal 4 2" xfId="7"/>
    <cellStyle name="Normal 4 2 2" xfId="7265"/>
    <cellStyle name="Normal 4 20" xfId="7266"/>
    <cellStyle name="Normal 4 21" xfId="7267"/>
    <cellStyle name="Normal 4 22" xfId="7268"/>
    <cellStyle name="Normal 4 23" xfId="7269"/>
    <cellStyle name="Normal 4 24" xfId="7270"/>
    <cellStyle name="Normal 4 25" xfId="7271"/>
    <cellStyle name="Normal 4 26" xfId="7272"/>
    <cellStyle name="Normal 4 27" xfId="7273"/>
    <cellStyle name="Normal 4 28" xfId="7274"/>
    <cellStyle name="Normal 4 29" xfId="7275"/>
    <cellStyle name="Normal 4 3" xfId="7276"/>
    <cellStyle name="Normal 4 30" xfId="7277"/>
    <cellStyle name="Normal 4 31" xfId="7278"/>
    <cellStyle name="Normal 4 32" xfId="7279"/>
    <cellStyle name="Normal 4 4" xfId="7280"/>
    <cellStyle name="Normal 4 5" xfId="7281"/>
    <cellStyle name="Normal 4 6" xfId="7282"/>
    <cellStyle name="Normal 4 7" xfId="7283"/>
    <cellStyle name="Normal 4 8" xfId="7284"/>
    <cellStyle name="Normal 4 9" xfId="7285"/>
    <cellStyle name="Normal 40" xfId="7286"/>
    <cellStyle name="Normal 40 2" xfId="7287"/>
    <cellStyle name="Normal 40 3" xfId="7288"/>
    <cellStyle name="Normal 41" xfId="7289"/>
    <cellStyle name="Normal 42" xfId="7290"/>
    <cellStyle name="Normal 43" xfId="7291"/>
    <cellStyle name="Normal 43 2" xfId="7292"/>
    <cellStyle name="Normal 44" xfId="7293"/>
    <cellStyle name="Normal 45" xfId="7294"/>
    <cellStyle name="Normal 46" xfId="7295"/>
    <cellStyle name="Normal 47" xfId="7296"/>
    <cellStyle name="Normal 48" xfId="7297"/>
    <cellStyle name="Normal 49" xfId="7298"/>
    <cellStyle name="Normal 5" xfId="8"/>
    <cellStyle name="Normal 5 2" xfId="9"/>
    <cellStyle name="Normal 5 3" xfId="7299"/>
    <cellStyle name="Normal 5 3 10" xfId="7300"/>
    <cellStyle name="Normal 5 3 11" xfId="7301"/>
    <cellStyle name="Normal 5 3 12" xfId="7302"/>
    <cellStyle name="Normal 5 3 2" xfId="7303"/>
    <cellStyle name="Normal 5 3 3" xfId="7304"/>
    <cellStyle name="Normal 5 3 4" xfId="7305"/>
    <cellStyle name="Normal 5 3 5" xfId="7306"/>
    <cellStyle name="Normal 5 3 6" xfId="7307"/>
    <cellStyle name="Normal 5 3 7" xfId="7308"/>
    <cellStyle name="Normal 5 3 8" xfId="7309"/>
    <cellStyle name="Normal 5 3 9" xfId="7310"/>
    <cellStyle name="Normal 50" xfId="7311"/>
    <cellStyle name="Normal 51" xfId="10"/>
    <cellStyle name="Normal 52" xfId="7312"/>
    <cellStyle name="Normal 53" xfId="7313"/>
    <cellStyle name="Normal 54" xfId="7314"/>
    <cellStyle name="Normal 55" xfId="7315"/>
    <cellStyle name="Normal 56" xfId="7316"/>
    <cellStyle name="Normal 57" xfId="7317"/>
    <cellStyle name="Normal 58" xfId="7318"/>
    <cellStyle name="Normal 59" xfId="7319"/>
    <cellStyle name="Normal 6" xfId="11"/>
    <cellStyle name="Normal 6 2" xfId="7320"/>
    <cellStyle name="Normal 6 3" xfId="7321"/>
    <cellStyle name="Normal 6 3 10" xfId="7322"/>
    <cellStyle name="Normal 6 3 11" xfId="7323"/>
    <cellStyle name="Normal 6 3 12" xfId="7324"/>
    <cellStyle name="Normal 6 3 2" xfId="7325"/>
    <cellStyle name="Normal 6 3 3" xfId="7326"/>
    <cellStyle name="Normal 6 3 4" xfId="7327"/>
    <cellStyle name="Normal 6 3 5" xfId="7328"/>
    <cellStyle name="Normal 6 3 6" xfId="7329"/>
    <cellStyle name="Normal 6 3 7" xfId="7330"/>
    <cellStyle name="Normal 6 3 8" xfId="7331"/>
    <cellStyle name="Normal 6 3 9" xfId="7332"/>
    <cellStyle name="Normal 60" xfId="7333"/>
    <cellStyle name="Normal 61" xfId="7334"/>
    <cellStyle name="Normal 62" xfId="7335"/>
    <cellStyle name="Normal 63" xfId="7336"/>
    <cellStyle name="Normal 64" xfId="7337"/>
    <cellStyle name="Normal 65" xfId="7338"/>
    <cellStyle name="Normal 66" xfId="7339"/>
    <cellStyle name="Normal 67" xfId="7340"/>
    <cellStyle name="Normal 68" xfId="7341"/>
    <cellStyle name="Normal 69" xfId="7342"/>
    <cellStyle name="Normal 7" xfId="7343"/>
    <cellStyle name="Normal 70" xfId="7344"/>
    <cellStyle name="Normal 71" xfId="7345"/>
    <cellStyle name="Normal 72" xfId="7346"/>
    <cellStyle name="Normal 73" xfId="7347"/>
    <cellStyle name="Normal 74" xfId="7348"/>
    <cellStyle name="Normal 75" xfId="7349"/>
    <cellStyle name="Normal 76" xfId="7350"/>
    <cellStyle name="Normal 77" xfId="7351"/>
    <cellStyle name="Normal 78" xfId="7352"/>
    <cellStyle name="Normal 79" xfId="7353"/>
    <cellStyle name="Normal 8" xfId="7354"/>
    <cellStyle name="Normal 8 2" xfId="7355"/>
    <cellStyle name="Normal 8 2 10" xfId="7356"/>
    <cellStyle name="Normal 8 2 11" xfId="7357"/>
    <cellStyle name="Normal 8 2 12" xfId="7358"/>
    <cellStyle name="Normal 8 2 2" xfId="7359"/>
    <cellStyle name="Normal 8 2 3" xfId="7360"/>
    <cellStyle name="Normal 8 2 4" xfId="7361"/>
    <cellStyle name="Normal 8 2 5" xfId="7362"/>
    <cellStyle name="Normal 8 2 6" xfId="7363"/>
    <cellStyle name="Normal 8 2 7" xfId="7364"/>
    <cellStyle name="Normal 8 2 8" xfId="7365"/>
    <cellStyle name="Normal 8 2 9" xfId="7366"/>
    <cellStyle name="Normal 80" xfId="7367"/>
    <cellStyle name="Normal 81" xfId="7368"/>
    <cellStyle name="Normal 82" xfId="7369"/>
    <cellStyle name="Normal 83" xfId="7370"/>
    <cellStyle name="Normal 84" xfId="7371"/>
    <cellStyle name="Normal 85" xfId="7372"/>
    <cellStyle name="Normal 86" xfId="7373"/>
    <cellStyle name="Normal 88" xfId="7374"/>
    <cellStyle name="Normal 9" xfId="7375"/>
    <cellStyle name="Percent" xfId="737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155071</xdr:rowOff>
    </xdr:from>
    <xdr:ext cx="9493250" cy="4531229"/>
    <xdr:sp macro="" textlink="">
      <xdr:nvSpPr>
        <xdr:cNvPr id="2" name="Rectangle 1"/>
        <xdr:cNvSpPr/>
      </xdr:nvSpPr>
      <xdr:spPr>
        <a:xfrm>
          <a:off x="82550" y="478921"/>
          <a:ext cx="9493250" cy="4531229"/>
        </a:xfrm>
        <a:prstGeom prst="rect">
          <a:avLst/>
        </a:prstGeom>
        <a:noFill/>
      </xdr:spPr>
      <xdr:txBody>
        <a:bodyPr wrap="square" lIns="91440" tIns="45720" rIns="91440" bIns="45720">
          <a:noAutofit/>
        </a:bodyPr>
        <a:lstStyle/>
        <a:p>
          <a:pPr algn="ctr"/>
          <a:r>
            <a:rPr lang="en-US" sz="5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Annual Work Plan &amp; Budget</a:t>
          </a:r>
        </a:p>
        <a:p>
          <a:pPr algn="ctr"/>
          <a:r>
            <a:rPr lang="en-US" sz="5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2018-19</a:t>
          </a:r>
        </a:p>
        <a:p>
          <a:pPr algn="ctr"/>
          <a:endParaRPr lang="en-US" sz="5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endParaRPr>
        </a:p>
        <a:p>
          <a:pPr algn="ctr"/>
          <a:r>
            <a:rPr lang="en-US" sz="4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State/UTs</a:t>
          </a:r>
          <a:r>
            <a:rPr lang="en-US" sz="4400" b="1" cap="none" spc="300" baseline="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 - UTTARAKHAND</a:t>
          </a:r>
        </a:p>
        <a:p>
          <a:pPr algn="ctr"/>
          <a:r>
            <a:rPr lang="en-US" sz="4400" b="1" cap="none" spc="300" baseline="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Date of Submission 07-06-2018</a:t>
          </a:r>
          <a:endParaRPr lang="en-US" sz="4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endParaRPr>
        </a:p>
        <a:p>
          <a:pPr algn="ct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mailto:mdmcell.uttarakhand@gmail.com"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pageSetUpPr fitToPage="1"/>
  </sheetPr>
  <dimension ref="A1"/>
  <sheetViews>
    <sheetView workbookViewId="0">
      <selection activeCell="N16" sqref="N16"/>
    </sheetView>
  </sheetViews>
  <sheetFormatPr defaultRowHeight="12.75" x14ac:dyDescent="0.2"/>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0000"/>
    <pageSetUpPr fitToPage="1"/>
  </sheetPr>
  <dimension ref="A1:T36"/>
  <sheetViews>
    <sheetView view="pageBreakPreview" topLeftCell="A13" zoomScale="89" zoomScaleSheetLayoutView="89" workbookViewId="0">
      <selection activeCell="G36" sqref="G36"/>
    </sheetView>
  </sheetViews>
  <sheetFormatPr defaultRowHeight="12.75" x14ac:dyDescent="0.2"/>
  <cols>
    <col min="1" max="1" width="7.140625" style="12" customWidth="1"/>
    <col min="2" max="2" width="11.7109375" style="12" customWidth="1"/>
    <col min="3" max="3" width="10" style="12" customWidth="1"/>
    <col min="4" max="4" width="9.28515625" style="12" customWidth="1"/>
    <col min="5" max="5" width="10.5703125" style="12" customWidth="1"/>
    <col min="6" max="6" width="9.140625" style="12"/>
    <col min="7" max="7" width="11.7109375" style="12" customWidth="1"/>
    <col min="8" max="8" width="11" style="12" customWidth="1"/>
    <col min="9" max="9" width="9.7109375" style="12" customWidth="1"/>
    <col min="10" max="10" width="10.42578125" style="12" customWidth="1"/>
    <col min="11" max="11" width="9.28515625" style="12" customWidth="1"/>
    <col min="12" max="12" width="12" style="12" customWidth="1"/>
    <col min="13" max="13" width="10.5703125" style="12" customWidth="1"/>
    <col min="14" max="14" width="8.7109375" style="12" customWidth="1"/>
    <col min="15" max="15" width="10.28515625" style="12" customWidth="1"/>
    <col min="16" max="16" width="12" style="12" bestFit="1" customWidth="1"/>
    <col min="17" max="17" width="11" style="12" customWidth="1"/>
    <col min="18" max="16384" width="9.140625" style="12"/>
  </cols>
  <sheetData>
    <row r="1" spans="1:20" customFormat="1" ht="12.75" customHeight="1" x14ac:dyDescent="0.2">
      <c r="D1" s="12"/>
      <c r="E1" s="12"/>
      <c r="F1" s="12"/>
      <c r="G1" s="12"/>
      <c r="H1" s="12"/>
      <c r="I1" s="12"/>
      <c r="J1" s="12"/>
      <c r="K1" s="12"/>
      <c r="L1" s="12"/>
      <c r="M1" s="12"/>
      <c r="N1" s="12"/>
      <c r="O1" s="1083" t="s">
        <v>62</v>
      </c>
      <c r="P1" s="1083"/>
      <c r="Q1" s="1083"/>
    </row>
    <row r="2" spans="1:20" customFormat="1" ht="15" x14ac:dyDescent="0.2">
      <c r="A2" s="1080" t="s">
        <v>0</v>
      </c>
      <c r="B2" s="1080"/>
      <c r="C2" s="1080"/>
      <c r="D2" s="1080"/>
      <c r="E2" s="1080"/>
      <c r="F2" s="1080"/>
      <c r="G2" s="1080"/>
      <c r="H2" s="1080"/>
      <c r="I2" s="1080"/>
      <c r="J2" s="1080"/>
      <c r="K2" s="1080"/>
      <c r="L2" s="1080"/>
      <c r="M2" s="1080"/>
      <c r="N2" s="1080"/>
      <c r="O2" s="1080"/>
      <c r="P2" s="1080"/>
      <c r="Q2" s="1080"/>
    </row>
    <row r="3" spans="1:20" customFormat="1" ht="20.25" customHeight="1" x14ac:dyDescent="0.25">
      <c r="A3" s="1056" t="s">
        <v>794</v>
      </c>
      <c r="B3" s="1056"/>
      <c r="C3" s="1056"/>
      <c r="D3" s="1056"/>
      <c r="E3" s="1056"/>
      <c r="F3" s="1056"/>
      <c r="G3" s="1056"/>
      <c r="H3" s="1056"/>
      <c r="I3" s="1056"/>
      <c r="J3" s="1056"/>
      <c r="K3" s="1056"/>
      <c r="L3" s="1056"/>
      <c r="M3" s="1056"/>
      <c r="N3" s="1056"/>
      <c r="O3" s="1056"/>
      <c r="P3" s="1056"/>
      <c r="Q3" s="1056"/>
    </row>
    <row r="4" spans="1:20" customFormat="1" ht="11.25" customHeight="1" x14ac:dyDescent="0.2"/>
    <row r="5" spans="1:20" customFormat="1" ht="15.75" customHeight="1" x14ac:dyDescent="0.25">
      <c r="A5" s="1085" t="s">
        <v>801</v>
      </c>
      <c r="B5" s="1085"/>
      <c r="C5" s="1085"/>
      <c r="D5" s="1085"/>
      <c r="E5" s="1085"/>
      <c r="F5" s="1085"/>
      <c r="G5" s="1085"/>
      <c r="H5" s="1085"/>
      <c r="I5" s="1085"/>
      <c r="J5" s="1085"/>
      <c r="K5" s="1085"/>
      <c r="L5" s="1085"/>
      <c r="M5" s="1085"/>
      <c r="N5" s="1085"/>
      <c r="O5" s="1085"/>
      <c r="P5" s="1085"/>
      <c r="Q5" s="1085"/>
    </row>
    <row r="6" spans="1:20" ht="17.45" customHeight="1" x14ac:dyDescent="0.2">
      <c r="A6" s="985" t="s">
        <v>463</v>
      </c>
      <c r="B6" s="985"/>
      <c r="C6" s="985"/>
      <c r="N6" s="1088" t="s">
        <v>911</v>
      </c>
      <c r="O6" s="1088"/>
      <c r="P6" s="1088"/>
      <c r="Q6" s="1088"/>
    </row>
    <row r="7" spans="1:20" ht="24" customHeight="1" x14ac:dyDescent="0.2">
      <c r="A7" s="1064" t="s">
        <v>2</v>
      </c>
      <c r="B7" s="1064" t="s">
        <v>3</v>
      </c>
      <c r="C7" s="1072" t="s">
        <v>802</v>
      </c>
      <c r="D7" s="1072"/>
      <c r="E7" s="1072"/>
      <c r="F7" s="1072"/>
      <c r="G7" s="1072"/>
      <c r="H7" s="1084" t="s">
        <v>837</v>
      </c>
      <c r="I7" s="1072"/>
      <c r="J7" s="1072"/>
      <c r="K7" s="1072"/>
      <c r="L7" s="1072"/>
      <c r="M7" s="1064" t="s">
        <v>117</v>
      </c>
      <c r="N7" s="1064"/>
      <c r="O7" s="1064"/>
      <c r="P7" s="1064"/>
      <c r="Q7" s="1064"/>
    </row>
    <row r="8" spans="1:20" s="11" customFormat="1" ht="50.25" customHeight="1" x14ac:dyDescent="0.2">
      <c r="A8" s="1064"/>
      <c r="B8" s="1064"/>
      <c r="C8" s="195" t="s">
        <v>238</v>
      </c>
      <c r="D8" s="195" t="s">
        <v>239</v>
      </c>
      <c r="E8" s="195" t="s">
        <v>499</v>
      </c>
      <c r="F8" s="195" t="s">
        <v>245</v>
      </c>
      <c r="G8" s="195" t="s">
        <v>125</v>
      </c>
      <c r="H8" s="201" t="s">
        <v>238</v>
      </c>
      <c r="I8" s="195" t="s">
        <v>239</v>
      </c>
      <c r="J8" s="195" t="s">
        <v>499</v>
      </c>
      <c r="K8" s="200" t="s">
        <v>245</v>
      </c>
      <c r="L8" s="195" t="s">
        <v>502</v>
      </c>
      <c r="M8" s="195" t="s">
        <v>238</v>
      </c>
      <c r="N8" s="195" t="s">
        <v>239</v>
      </c>
      <c r="O8" s="195" t="s">
        <v>499</v>
      </c>
      <c r="P8" s="200" t="s">
        <v>245</v>
      </c>
      <c r="Q8" s="200" t="s">
        <v>503</v>
      </c>
      <c r="R8" s="20"/>
    </row>
    <row r="9" spans="1:20" s="49" customFormat="1" x14ac:dyDescent="0.2">
      <c r="A9" s="245">
        <v>1</v>
      </c>
      <c r="B9" s="245">
        <v>2</v>
      </c>
      <c r="C9" s="245">
        <v>3</v>
      </c>
      <c r="D9" s="245">
        <v>4</v>
      </c>
      <c r="E9" s="245">
        <v>5</v>
      </c>
      <c r="F9" s="245">
        <v>6</v>
      </c>
      <c r="G9" s="245">
        <v>7</v>
      </c>
      <c r="H9" s="245">
        <v>8</v>
      </c>
      <c r="I9" s="245">
        <v>9</v>
      </c>
      <c r="J9" s="245">
        <v>10</v>
      </c>
      <c r="K9" s="245">
        <v>11</v>
      </c>
      <c r="L9" s="245">
        <v>12</v>
      </c>
      <c r="M9" s="245">
        <v>13</v>
      </c>
      <c r="N9" s="245">
        <v>14</v>
      </c>
      <c r="O9" s="245">
        <v>15</v>
      </c>
      <c r="P9" s="245">
        <v>16</v>
      </c>
      <c r="Q9" s="245">
        <v>17</v>
      </c>
    </row>
    <row r="10" spans="1:20" ht="24.95" customHeight="1" x14ac:dyDescent="0.2">
      <c r="A10" s="194">
        <v>1</v>
      </c>
      <c r="B10" s="225" t="s">
        <v>392</v>
      </c>
      <c r="C10" s="92">
        <v>25234</v>
      </c>
      <c r="D10" s="92">
        <v>163</v>
      </c>
      <c r="E10" s="92">
        <v>0</v>
      </c>
      <c r="F10" s="92">
        <v>0</v>
      </c>
      <c r="G10" s="69">
        <f>C10+D10+E10+F10</f>
        <v>25397</v>
      </c>
      <c r="H10" s="92">
        <v>23429</v>
      </c>
      <c r="I10" s="92">
        <v>123</v>
      </c>
      <c r="J10" s="92">
        <v>0</v>
      </c>
      <c r="K10" s="92">
        <v>0</v>
      </c>
      <c r="L10" s="69">
        <f>H10+I10+J10+K10</f>
        <v>23552</v>
      </c>
      <c r="M10" s="261">
        <v>5295901</v>
      </c>
      <c r="N10" s="261">
        <v>26944</v>
      </c>
      <c r="O10" s="261">
        <v>0</v>
      </c>
      <c r="P10" s="261">
        <v>0</v>
      </c>
      <c r="Q10" s="69">
        <f>M10+N10+O10+P10</f>
        <v>5322845</v>
      </c>
      <c r="S10" s="49"/>
      <c r="T10" s="49"/>
    </row>
    <row r="11" spans="1:20" ht="24.95" customHeight="1" x14ac:dyDescent="0.2">
      <c r="A11" s="194">
        <v>2</v>
      </c>
      <c r="B11" s="225" t="s">
        <v>393</v>
      </c>
      <c r="C11" s="92">
        <v>13142</v>
      </c>
      <c r="D11" s="92">
        <v>37</v>
      </c>
      <c r="E11" s="92">
        <v>0</v>
      </c>
      <c r="F11" s="92">
        <v>0</v>
      </c>
      <c r="G11" s="69">
        <f t="shared" ref="G11:G22" si="0">C11+D11+E11+F11</f>
        <v>13179</v>
      </c>
      <c r="H11" s="92">
        <v>11978</v>
      </c>
      <c r="I11" s="92">
        <v>29</v>
      </c>
      <c r="J11" s="92">
        <v>0</v>
      </c>
      <c r="K11" s="92">
        <v>0</v>
      </c>
      <c r="L11" s="850">
        <f t="shared" ref="L11:L22" si="1">H11+I11+J11+K11</f>
        <v>12007</v>
      </c>
      <c r="M11" s="261">
        <v>2707012</v>
      </c>
      <c r="N11" s="261">
        <v>6576</v>
      </c>
      <c r="O11" s="261">
        <v>0</v>
      </c>
      <c r="P11" s="261">
        <v>0</v>
      </c>
      <c r="Q11" s="839">
        <f t="shared" ref="Q11:Q22" si="2">M11+N11+O11+P11</f>
        <v>2713588</v>
      </c>
      <c r="S11" s="49"/>
      <c r="T11" s="49"/>
    </row>
    <row r="12" spans="1:20" ht="24.95" customHeight="1" x14ac:dyDescent="0.2">
      <c r="A12" s="194">
        <v>3</v>
      </c>
      <c r="B12" s="225" t="s">
        <v>394</v>
      </c>
      <c r="C12" s="92">
        <v>21077</v>
      </c>
      <c r="D12" s="92">
        <v>0</v>
      </c>
      <c r="E12" s="92">
        <v>0</v>
      </c>
      <c r="F12" s="92">
        <v>0</v>
      </c>
      <c r="G12" s="69">
        <f t="shared" si="0"/>
        <v>21077</v>
      </c>
      <c r="H12" s="92">
        <v>19574</v>
      </c>
      <c r="I12" s="92">
        <v>0</v>
      </c>
      <c r="J12" s="92">
        <v>0</v>
      </c>
      <c r="K12" s="92">
        <v>0</v>
      </c>
      <c r="L12" s="850">
        <f t="shared" si="1"/>
        <v>19574</v>
      </c>
      <c r="M12" s="261">
        <v>4462894</v>
      </c>
      <c r="N12" s="261">
        <v>0</v>
      </c>
      <c r="O12" s="261">
        <v>0</v>
      </c>
      <c r="P12" s="261">
        <v>0</v>
      </c>
      <c r="Q12" s="839">
        <f t="shared" si="2"/>
        <v>4462894</v>
      </c>
    </row>
    <row r="13" spans="1:20" ht="24.95" customHeight="1" x14ac:dyDescent="0.2">
      <c r="A13" s="194">
        <v>4</v>
      </c>
      <c r="B13" s="225" t="s">
        <v>395</v>
      </c>
      <c r="C13" s="92">
        <v>13448</v>
      </c>
      <c r="D13" s="92">
        <v>0</v>
      </c>
      <c r="E13" s="92">
        <v>0</v>
      </c>
      <c r="F13" s="92">
        <v>0</v>
      </c>
      <c r="G13" s="69">
        <f t="shared" si="0"/>
        <v>13448</v>
      </c>
      <c r="H13" s="92">
        <v>11225</v>
      </c>
      <c r="I13" s="92">
        <v>0</v>
      </c>
      <c r="J13" s="92">
        <v>0</v>
      </c>
      <c r="K13" s="92">
        <v>0</v>
      </c>
      <c r="L13" s="850">
        <f t="shared" si="1"/>
        <v>11225</v>
      </c>
      <c r="M13" s="261">
        <v>2536960</v>
      </c>
      <c r="N13" s="261">
        <v>0</v>
      </c>
      <c r="O13" s="261">
        <v>0</v>
      </c>
      <c r="P13" s="261">
        <v>0</v>
      </c>
      <c r="Q13" s="839">
        <f t="shared" si="2"/>
        <v>2536960</v>
      </c>
    </row>
    <row r="14" spans="1:20" ht="24.95" customHeight="1" x14ac:dyDescent="0.2">
      <c r="A14" s="194">
        <v>5</v>
      </c>
      <c r="B14" s="227" t="s">
        <v>396</v>
      </c>
      <c r="C14" s="92">
        <v>39661</v>
      </c>
      <c r="D14" s="92">
        <v>2998</v>
      </c>
      <c r="E14" s="92">
        <v>129</v>
      </c>
      <c r="F14" s="92">
        <v>1332</v>
      </c>
      <c r="G14" s="69">
        <f t="shared" si="0"/>
        <v>44120</v>
      </c>
      <c r="H14" s="92">
        <v>31763</v>
      </c>
      <c r="I14" s="92">
        <v>2347</v>
      </c>
      <c r="J14" s="92">
        <v>148</v>
      </c>
      <c r="K14" s="92">
        <v>1094</v>
      </c>
      <c r="L14" s="850">
        <f t="shared" si="1"/>
        <v>35352</v>
      </c>
      <c r="M14" s="261">
        <v>7137584</v>
      </c>
      <c r="N14" s="261">
        <v>528021</v>
      </c>
      <c r="O14" s="261">
        <v>29326</v>
      </c>
      <c r="P14" s="261">
        <v>259234</v>
      </c>
      <c r="Q14" s="839">
        <f t="shared" si="2"/>
        <v>7954165</v>
      </c>
    </row>
    <row r="15" spans="1:20" ht="24.95" customHeight="1" x14ac:dyDescent="0.2">
      <c r="A15" s="194">
        <v>6</v>
      </c>
      <c r="B15" s="225" t="s">
        <v>397</v>
      </c>
      <c r="C15" s="92">
        <v>79683</v>
      </c>
      <c r="D15" s="92">
        <v>2336</v>
      </c>
      <c r="E15" s="92">
        <v>0</v>
      </c>
      <c r="F15" s="92">
        <v>18571</v>
      </c>
      <c r="G15" s="69">
        <f t="shared" si="0"/>
        <v>100590</v>
      </c>
      <c r="H15" s="92">
        <v>52619</v>
      </c>
      <c r="I15" s="92">
        <v>2068</v>
      </c>
      <c r="J15" s="92">
        <v>599</v>
      </c>
      <c r="K15" s="92">
        <v>11222</v>
      </c>
      <c r="L15" s="850">
        <f t="shared" si="1"/>
        <v>66508</v>
      </c>
      <c r="M15" s="261">
        <v>11365714</v>
      </c>
      <c r="N15" s="261">
        <v>421808</v>
      </c>
      <c r="O15" s="261">
        <v>71293</v>
      </c>
      <c r="P15" s="261">
        <v>2506988</v>
      </c>
      <c r="Q15" s="839">
        <f t="shared" si="2"/>
        <v>14365803</v>
      </c>
    </row>
    <row r="16" spans="1:20" ht="24.95" customHeight="1" x14ac:dyDescent="0.2">
      <c r="A16" s="194">
        <v>7</v>
      </c>
      <c r="B16" s="227" t="s">
        <v>398</v>
      </c>
      <c r="C16" s="92">
        <v>34867</v>
      </c>
      <c r="D16" s="92">
        <v>264</v>
      </c>
      <c r="E16" s="92">
        <v>0</v>
      </c>
      <c r="F16" s="92">
        <v>0</v>
      </c>
      <c r="G16" s="69">
        <f t="shared" si="0"/>
        <v>35131</v>
      </c>
      <c r="H16" s="92">
        <v>31680</v>
      </c>
      <c r="I16" s="92">
        <v>241</v>
      </c>
      <c r="J16" s="92">
        <v>0</v>
      </c>
      <c r="K16" s="92">
        <v>352</v>
      </c>
      <c r="L16" s="850">
        <f t="shared" si="1"/>
        <v>32273</v>
      </c>
      <c r="M16" s="261">
        <v>7199918</v>
      </c>
      <c r="N16" s="261">
        <v>53823</v>
      </c>
      <c r="O16" s="261">
        <v>0</v>
      </c>
      <c r="P16" s="261">
        <v>72204</v>
      </c>
      <c r="Q16" s="839">
        <f t="shared" si="2"/>
        <v>7325945</v>
      </c>
    </row>
    <row r="17" spans="1:18" ht="24.95" customHeight="1" x14ac:dyDescent="0.2">
      <c r="A17" s="194">
        <v>8</v>
      </c>
      <c r="B17" s="225" t="s">
        <v>399</v>
      </c>
      <c r="C17" s="92">
        <v>25816</v>
      </c>
      <c r="D17" s="92">
        <v>36</v>
      </c>
      <c r="E17" s="92">
        <v>0</v>
      </c>
      <c r="F17" s="92">
        <v>0</v>
      </c>
      <c r="G17" s="69">
        <f t="shared" si="0"/>
        <v>25852</v>
      </c>
      <c r="H17" s="92">
        <v>23686</v>
      </c>
      <c r="I17" s="92">
        <v>28</v>
      </c>
      <c r="J17" s="92">
        <v>0</v>
      </c>
      <c r="K17" s="92">
        <v>0</v>
      </c>
      <c r="L17" s="850">
        <f t="shared" si="1"/>
        <v>23714</v>
      </c>
      <c r="M17" s="261">
        <v>5447703</v>
      </c>
      <c r="N17" s="261">
        <v>6543</v>
      </c>
      <c r="O17" s="261">
        <v>0</v>
      </c>
      <c r="P17" s="261">
        <v>0</v>
      </c>
      <c r="Q17" s="839">
        <f t="shared" si="2"/>
        <v>5454246</v>
      </c>
    </row>
    <row r="18" spans="1:18" ht="24.95" customHeight="1" x14ac:dyDescent="0.2">
      <c r="A18" s="194">
        <v>9</v>
      </c>
      <c r="B18" s="225" t="s">
        <v>400</v>
      </c>
      <c r="C18" s="92">
        <v>20162</v>
      </c>
      <c r="D18" s="92">
        <v>65</v>
      </c>
      <c r="E18" s="92">
        <v>0</v>
      </c>
      <c r="F18" s="92">
        <v>0</v>
      </c>
      <c r="G18" s="69">
        <f t="shared" si="0"/>
        <v>20227</v>
      </c>
      <c r="H18" s="92">
        <v>17733</v>
      </c>
      <c r="I18" s="92">
        <v>53</v>
      </c>
      <c r="J18" s="92">
        <v>0</v>
      </c>
      <c r="K18" s="92">
        <v>0</v>
      </c>
      <c r="L18" s="850">
        <f t="shared" si="1"/>
        <v>17786</v>
      </c>
      <c r="M18" s="261">
        <v>4184522</v>
      </c>
      <c r="N18" s="261">
        <v>12881</v>
      </c>
      <c r="O18" s="261">
        <v>0</v>
      </c>
      <c r="P18" s="261">
        <v>0</v>
      </c>
      <c r="Q18" s="839">
        <f t="shared" si="2"/>
        <v>4197403</v>
      </c>
    </row>
    <row r="19" spans="1:18" ht="24.95" customHeight="1" x14ac:dyDescent="0.2">
      <c r="A19" s="194">
        <v>10</v>
      </c>
      <c r="B19" s="225" t="s">
        <v>401</v>
      </c>
      <c r="C19" s="92">
        <v>12851</v>
      </c>
      <c r="D19" s="92">
        <v>0</v>
      </c>
      <c r="E19" s="92">
        <v>0</v>
      </c>
      <c r="F19" s="92">
        <v>0</v>
      </c>
      <c r="G19" s="69">
        <f t="shared" si="0"/>
        <v>12851</v>
      </c>
      <c r="H19" s="92">
        <v>12043</v>
      </c>
      <c r="I19" s="92">
        <v>0</v>
      </c>
      <c r="J19" s="92">
        <v>0</v>
      </c>
      <c r="K19" s="92">
        <v>0</v>
      </c>
      <c r="L19" s="850">
        <f t="shared" si="1"/>
        <v>12043</v>
      </c>
      <c r="M19" s="261">
        <v>2842192</v>
      </c>
      <c r="N19" s="261">
        <v>0</v>
      </c>
      <c r="O19" s="261">
        <v>0</v>
      </c>
      <c r="P19" s="261">
        <v>0</v>
      </c>
      <c r="Q19" s="839">
        <f t="shared" si="2"/>
        <v>2842192</v>
      </c>
    </row>
    <row r="20" spans="1:18" ht="24.95" customHeight="1" x14ac:dyDescent="0.2">
      <c r="A20" s="194">
        <v>11</v>
      </c>
      <c r="B20" s="225" t="s">
        <v>402</v>
      </c>
      <c r="C20" s="92">
        <v>30964</v>
      </c>
      <c r="D20" s="92">
        <v>0</v>
      </c>
      <c r="E20" s="92">
        <v>0</v>
      </c>
      <c r="F20" s="92">
        <v>0</v>
      </c>
      <c r="G20" s="69">
        <f t="shared" si="0"/>
        <v>30964</v>
      </c>
      <c r="H20" s="92">
        <v>28215</v>
      </c>
      <c r="I20" s="92">
        <v>0</v>
      </c>
      <c r="J20" s="92">
        <v>0</v>
      </c>
      <c r="K20" s="92">
        <v>0</v>
      </c>
      <c r="L20" s="850">
        <f t="shared" si="1"/>
        <v>28215</v>
      </c>
      <c r="M20" s="261">
        <v>6432909</v>
      </c>
      <c r="N20" s="261">
        <v>0</v>
      </c>
      <c r="O20" s="261">
        <v>0</v>
      </c>
      <c r="P20" s="261">
        <v>0</v>
      </c>
      <c r="Q20" s="839">
        <f t="shared" si="2"/>
        <v>6432909</v>
      </c>
      <c r="R20" s="806"/>
    </row>
    <row r="21" spans="1:18" ht="24.95" customHeight="1" x14ac:dyDescent="0.2">
      <c r="A21" s="194">
        <v>12</v>
      </c>
      <c r="B21" s="225" t="s">
        <v>403</v>
      </c>
      <c r="C21" s="92">
        <v>68182</v>
      </c>
      <c r="D21" s="92">
        <v>2196</v>
      </c>
      <c r="E21" s="92">
        <v>52</v>
      </c>
      <c r="F21" s="92">
        <v>5887</v>
      </c>
      <c r="G21" s="69">
        <f t="shared" si="0"/>
        <v>76317</v>
      </c>
      <c r="H21" s="92">
        <v>50394</v>
      </c>
      <c r="I21" s="92">
        <v>1719</v>
      </c>
      <c r="J21" s="92">
        <v>34</v>
      </c>
      <c r="K21" s="92">
        <v>4615</v>
      </c>
      <c r="L21" s="850">
        <f t="shared" si="1"/>
        <v>56762</v>
      </c>
      <c r="M21" s="261">
        <v>11422098</v>
      </c>
      <c r="N21" s="261">
        <v>386727</v>
      </c>
      <c r="O21" s="261">
        <v>5406</v>
      </c>
      <c r="P21" s="261">
        <v>1070701</v>
      </c>
      <c r="Q21" s="839">
        <f t="shared" si="2"/>
        <v>12884932</v>
      </c>
      <c r="R21" s="806"/>
    </row>
    <row r="22" spans="1:18" ht="24.95" customHeight="1" x14ac:dyDescent="0.2">
      <c r="A22" s="194">
        <v>13</v>
      </c>
      <c r="B22" s="225" t="s">
        <v>404</v>
      </c>
      <c r="C22" s="92">
        <v>18718</v>
      </c>
      <c r="D22" s="92">
        <v>0</v>
      </c>
      <c r="E22" s="92">
        <v>0</v>
      </c>
      <c r="F22" s="92">
        <v>0</v>
      </c>
      <c r="G22" s="69">
        <f t="shared" si="0"/>
        <v>18718</v>
      </c>
      <c r="H22" s="92">
        <v>17127</v>
      </c>
      <c r="I22" s="92">
        <v>0</v>
      </c>
      <c r="J22" s="92">
        <v>0</v>
      </c>
      <c r="K22" s="92">
        <v>0</v>
      </c>
      <c r="L22" s="850">
        <f t="shared" si="1"/>
        <v>17127</v>
      </c>
      <c r="M22" s="261">
        <v>3887720</v>
      </c>
      <c r="N22" s="261">
        <v>0</v>
      </c>
      <c r="O22" s="261">
        <v>0</v>
      </c>
      <c r="P22" s="261">
        <v>0</v>
      </c>
      <c r="Q22" s="839">
        <f t="shared" si="2"/>
        <v>3887720</v>
      </c>
    </row>
    <row r="23" spans="1:18" s="11" customFormat="1" x14ac:dyDescent="0.2">
      <c r="A23" s="194" t="s">
        <v>18</v>
      </c>
      <c r="B23" s="194"/>
      <c r="C23" s="194">
        <f>SUM(C10:C22)</f>
        <v>403805</v>
      </c>
      <c r="D23" s="194">
        <f t="shared" ref="D23:Q23" si="3">SUM(D10:D22)</f>
        <v>8095</v>
      </c>
      <c r="E23" s="194">
        <f t="shared" si="3"/>
        <v>181</v>
      </c>
      <c r="F23" s="194">
        <f t="shared" si="3"/>
        <v>25790</v>
      </c>
      <c r="G23" s="194">
        <f t="shared" si="3"/>
        <v>437871</v>
      </c>
      <c r="H23" s="194">
        <f t="shared" si="3"/>
        <v>331466</v>
      </c>
      <c r="I23" s="194">
        <f t="shared" si="3"/>
        <v>6608</v>
      </c>
      <c r="J23" s="194">
        <f t="shared" si="3"/>
        <v>781</v>
      </c>
      <c r="K23" s="194">
        <f t="shared" si="3"/>
        <v>17283</v>
      </c>
      <c r="L23" s="194">
        <f t="shared" si="3"/>
        <v>356138</v>
      </c>
      <c r="M23" s="194">
        <f t="shared" si="3"/>
        <v>74923127</v>
      </c>
      <c r="N23" s="194">
        <f t="shared" si="3"/>
        <v>1443323</v>
      </c>
      <c r="O23" s="194">
        <f t="shared" si="3"/>
        <v>106025</v>
      </c>
      <c r="P23" s="194">
        <f t="shared" si="3"/>
        <v>3909127</v>
      </c>
      <c r="Q23" s="194">
        <f t="shared" si="3"/>
        <v>80381602</v>
      </c>
    </row>
    <row r="24" spans="1:18" x14ac:dyDescent="0.2">
      <c r="A24" s="51"/>
      <c r="B24" s="16"/>
      <c r="C24" s="16"/>
      <c r="D24" s="16"/>
      <c r="E24" s="16"/>
      <c r="F24" s="16"/>
      <c r="G24" s="16"/>
      <c r="H24" s="16"/>
      <c r="I24" s="16"/>
      <c r="J24" s="16"/>
      <c r="K24" s="16"/>
      <c r="L24" s="16"/>
      <c r="M24" s="16"/>
      <c r="N24" s="16"/>
      <c r="O24" s="16"/>
      <c r="P24" s="16"/>
      <c r="Q24" s="16"/>
    </row>
    <row r="25" spans="1:18" x14ac:dyDescent="0.2">
      <c r="A25" s="7" t="s">
        <v>7</v>
      </c>
      <c r="B25"/>
      <c r="D25"/>
    </row>
    <row r="26" spans="1:18" x14ac:dyDescent="0.2">
      <c r="A26" t="s">
        <v>8</v>
      </c>
      <c r="B26"/>
      <c r="D26"/>
    </row>
    <row r="27" spans="1:18" x14ac:dyDescent="0.2">
      <c r="A27" t="s">
        <v>9</v>
      </c>
      <c r="B27"/>
      <c r="D27"/>
      <c r="I27" s="8"/>
      <c r="J27" s="8"/>
      <c r="K27" s="8"/>
      <c r="L27" s="8"/>
    </row>
    <row r="28" spans="1:18" x14ac:dyDescent="0.2">
      <c r="A28" s="298" t="s">
        <v>596</v>
      </c>
      <c r="B28" s="298"/>
      <c r="D28"/>
      <c r="I28" s="16"/>
      <c r="J28" s="16"/>
      <c r="K28" s="16"/>
      <c r="L28" s="16"/>
    </row>
    <row r="30" spans="1:18" x14ac:dyDescent="0.2">
      <c r="A30" s="11" t="s">
        <v>11</v>
      </c>
      <c r="B30" s="11"/>
      <c r="C30" s="11"/>
      <c r="D30" s="11"/>
      <c r="E30" s="11"/>
      <c r="F30" s="11"/>
      <c r="G30" s="11"/>
      <c r="I30" s="11"/>
      <c r="O30" s="1086" t="s">
        <v>12</v>
      </c>
      <c r="P30" s="1086"/>
      <c r="Q30" s="1087"/>
    </row>
    <row r="31" spans="1:18" ht="12.75" customHeight="1" x14ac:dyDescent="0.2">
      <c r="A31" s="1086" t="s">
        <v>13</v>
      </c>
      <c r="B31" s="1086"/>
      <c r="C31" s="1086"/>
      <c r="D31" s="1086"/>
      <c r="E31" s="1086"/>
      <c r="F31" s="1086"/>
      <c r="G31" s="1086"/>
      <c r="H31" s="1086"/>
      <c r="I31" s="1086"/>
      <c r="J31" s="1086"/>
      <c r="K31" s="1086"/>
      <c r="L31" s="1086"/>
      <c r="M31" s="1086"/>
      <c r="N31" s="1086"/>
      <c r="O31" s="1086"/>
      <c r="P31" s="1086"/>
      <c r="Q31" s="1086"/>
    </row>
    <row r="32" spans="1:18" ht="12.75" customHeight="1" x14ac:dyDescent="0.2">
      <c r="B32" s="55"/>
      <c r="C32" s="55"/>
      <c r="D32" s="55"/>
      <c r="E32" s="55"/>
      <c r="F32" s="55"/>
      <c r="G32" s="55"/>
      <c r="H32" s="55"/>
      <c r="I32" s="55"/>
      <c r="J32" s="55"/>
      <c r="K32" s="55"/>
      <c r="L32" s="55"/>
      <c r="M32" s="55"/>
      <c r="N32" s="55"/>
      <c r="O32" s="998" t="s">
        <v>88</v>
      </c>
      <c r="P32" s="998"/>
      <c r="Q32" s="998"/>
      <c r="R32" s="55"/>
    </row>
    <row r="33" spans="1:17" x14ac:dyDescent="0.2">
      <c r="A33" s="11"/>
      <c r="B33" s="11"/>
      <c r="C33" s="11"/>
      <c r="D33" s="11"/>
      <c r="E33" s="11"/>
      <c r="F33" s="11"/>
      <c r="N33" s="1000" t="s">
        <v>85</v>
      </c>
      <c r="O33" s="1000"/>
      <c r="P33" s="1000"/>
      <c r="Q33" s="1000"/>
    </row>
    <row r="34" spans="1:17" x14ac:dyDescent="0.2">
      <c r="A34" s="1082"/>
      <c r="B34" s="1082"/>
      <c r="C34" s="1082"/>
      <c r="D34" s="1082"/>
      <c r="E34" s="1082"/>
      <c r="F34" s="1082"/>
      <c r="G34" s="1082"/>
      <c r="H34" s="1082"/>
      <c r="I34" s="1082"/>
      <c r="J34" s="1082"/>
      <c r="K34" s="1082"/>
      <c r="L34" s="1082"/>
    </row>
    <row r="35" spans="1:17" x14ac:dyDescent="0.2">
      <c r="G35" s="12">
        <f>'enrolment vs opted_UPY'!G24</f>
        <v>311725</v>
      </c>
    </row>
    <row r="36" spans="1:17" x14ac:dyDescent="0.2">
      <c r="G36" s="12">
        <f>G23+G35</f>
        <v>749596</v>
      </c>
    </row>
  </sheetData>
  <mergeCells count="16">
    <mergeCell ref="A34:L34"/>
    <mergeCell ref="O1:Q1"/>
    <mergeCell ref="A7:A8"/>
    <mergeCell ref="B7:B8"/>
    <mergeCell ref="C7:G7"/>
    <mergeCell ref="O32:Q32"/>
    <mergeCell ref="H7:L7"/>
    <mergeCell ref="A3:Q3"/>
    <mergeCell ref="A5:Q5"/>
    <mergeCell ref="A2:Q2"/>
    <mergeCell ref="M7:Q7"/>
    <mergeCell ref="N33:Q33"/>
    <mergeCell ref="O30:Q30"/>
    <mergeCell ref="A31:Q31"/>
    <mergeCell ref="N6:Q6"/>
    <mergeCell ref="A6:C6"/>
  </mergeCells>
  <phoneticPr fontId="0" type="noConversion"/>
  <printOptions horizontalCentered="1"/>
  <pageMargins left="0.63" right="0.34" top="0.27" bottom="0" header="0.43" footer="0.31496062992125984"/>
  <pageSetup paperSize="9"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pageSetUpPr fitToPage="1"/>
  </sheetPr>
  <dimension ref="A1:S37"/>
  <sheetViews>
    <sheetView view="pageBreakPreview" topLeftCell="A9" zoomScale="90" zoomScaleSheetLayoutView="90" workbookViewId="0">
      <selection activeCell="G11" sqref="G11:G23"/>
    </sheetView>
  </sheetViews>
  <sheetFormatPr defaultRowHeight="12.75" x14ac:dyDescent="0.2"/>
  <cols>
    <col min="1" max="1" width="7.140625" style="12" customWidth="1"/>
    <col min="2" max="2" width="11.42578125" style="12" customWidth="1"/>
    <col min="3" max="3" width="9.5703125" style="12" customWidth="1"/>
    <col min="4" max="4" width="9.28515625" style="12" customWidth="1"/>
    <col min="5" max="6" width="9.140625" style="12"/>
    <col min="7" max="7" width="11.7109375" style="12" customWidth="1"/>
    <col min="8" max="8" width="11" style="12" customWidth="1"/>
    <col min="9" max="9" width="9.7109375" style="12" customWidth="1"/>
    <col min="10" max="10" width="9.5703125" style="12" customWidth="1"/>
    <col min="11" max="11" width="9.28515625" style="12" customWidth="1"/>
    <col min="12" max="12" width="11.7109375" style="12" customWidth="1"/>
    <col min="13" max="13" width="9.7109375" style="12" customWidth="1"/>
    <col min="14" max="14" width="8.7109375" style="12" customWidth="1"/>
    <col min="15" max="15" width="8.85546875" style="12" customWidth="1"/>
    <col min="16" max="16" width="9.140625" style="12"/>
    <col min="17" max="17" width="12.42578125" style="12" customWidth="1"/>
    <col min="18" max="18" width="9.140625" style="12" hidden="1" customWidth="1"/>
    <col min="19" max="16384" width="9.140625" style="12"/>
  </cols>
  <sheetData>
    <row r="1" spans="1:19" customFormat="1" ht="12.75" customHeight="1" x14ac:dyDescent="0.2">
      <c r="D1" s="12"/>
      <c r="E1" s="12"/>
      <c r="F1" s="12"/>
      <c r="G1" s="12"/>
      <c r="H1" s="12"/>
      <c r="I1" s="12"/>
      <c r="J1" s="12"/>
      <c r="K1" s="12"/>
      <c r="L1" s="12"/>
      <c r="M1" s="12"/>
      <c r="N1" s="12"/>
      <c r="O1" s="1083" t="s">
        <v>63</v>
      </c>
      <c r="P1" s="1083"/>
      <c r="Q1" s="1083"/>
    </row>
    <row r="2" spans="1:19" customFormat="1" ht="15.75" x14ac:dyDescent="0.25">
      <c r="A2" s="1056" t="s">
        <v>0</v>
      </c>
      <c r="B2" s="1056"/>
      <c r="C2" s="1056"/>
      <c r="D2" s="1056"/>
      <c r="E2" s="1056"/>
      <c r="F2" s="1056"/>
      <c r="G2" s="1056"/>
      <c r="H2" s="1056"/>
      <c r="I2" s="1056"/>
      <c r="J2" s="1056"/>
      <c r="K2" s="1056"/>
      <c r="L2" s="1056"/>
      <c r="M2" s="1056"/>
      <c r="N2" s="1056"/>
      <c r="O2" s="1056"/>
      <c r="P2" s="1056"/>
      <c r="Q2" s="1056"/>
    </row>
    <row r="3" spans="1:19" customFormat="1" ht="15.75" x14ac:dyDescent="0.25">
      <c r="A3" s="1056" t="s">
        <v>794</v>
      </c>
      <c r="B3" s="1056"/>
      <c r="C3" s="1056"/>
      <c r="D3" s="1056"/>
      <c r="E3" s="1056"/>
      <c r="F3" s="1056"/>
      <c r="G3" s="1056"/>
      <c r="H3" s="1056"/>
      <c r="I3" s="1056"/>
      <c r="J3" s="1056"/>
      <c r="K3" s="1056"/>
      <c r="L3" s="1056"/>
      <c r="M3" s="1056"/>
      <c r="N3" s="1056"/>
      <c r="O3" s="1056"/>
      <c r="P3" s="1056"/>
      <c r="Q3" s="1056"/>
    </row>
    <row r="4" spans="1:19" customFormat="1" ht="11.25" customHeight="1" x14ac:dyDescent="0.2"/>
    <row r="5" spans="1:19" customFormat="1" ht="15.75" customHeight="1" x14ac:dyDescent="0.25">
      <c r="A5" s="1085" t="s">
        <v>229</v>
      </c>
      <c r="B5" s="1085"/>
      <c r="C5" s="1085"/>
      <c r="D5" s="1085"/>
      <c r="E5" s="1085"/>
      <c r="F5" s="1085"/>
      <c r="G5" s="1085"/>
      <c r="H5" s="1085"/>
      <c r="I5" s="1085"/>
      <c r="J5" s="1085"/>
      <c r="K5" s="1085"/>
      <c r="L5" s="1085"/>
      <c r="M5" s="1085"/>
      <c r="N5" s="1085"/>
      <c r="O5" s="1085"/>
      <c r="P5" s="1085"/>
      <c r="Q5" s="1085"/>
    </row>
    <row r="7" spans="1:19" ht="12.6" customHeight="1" x14ac:dyDescent="0.2">
      <c r="A7" s="985" t="s">
        <v>463</v>
      </c>
      <c r="B7" s="985"/>
      <c r="C7" s="985"/>
      <c r="N7" s="1088" t="s">
        <v>911</v>
      </c>
      <c r="O7" s="1088"/>
      <c r="P7" s="1088"/>
      <c r="Q7" s="1088"/>
      <c r="R7" s="1088"/>
    </row>
    <row r="8" spans="1:19" s="11" customFormat="1" ht="29.45" customHeight="1" x14ac:dyDescent="0.2">
      <c r="A8" s="1064" t="s">
        <v>2</v>
      </c>
      <c r="B8" s="1064" t="s">
        <v>3</v>
      </c>
      <c r="C8" s="1072" t="s">
        <v>804</v>
      </c>
      <c r="D8" s="1072"/>
      <c r="E8" s="1072"/>
      <c r="F8" s="1093"/>
      <c r="G8" s="1093"/>
      <c r="H8" s="1072" t="s">
        <v>805</v>
      </c>
      <c r="I8" s="1072"/>
      <c r="J8" s="1072"/>
      <c r="K8" s="1072"/>
      <c r="L8" s="1072"/>
      <c r="M8" s="1090" t="s">
        <v>117</v>
      </c>
      <c r="N8" s="1091"/>
      <c r="O8" s="1091"/>
      <c r="P8" s="1091"/>
      <c r="Q8" s="1092"/>
    </row>
    <row r="9" spans="1:19" s="11" customFormat="1" ht="48" customHeight="1" x14ac:dyDescent="0.2">
      <c r="A9" s="1064"/>
      <c r="B9" s="1064"/>
      <c r="C9" s="195" t="s">
        <v>238</v>
      </c>
      <c r="D9" s="195" t="s">
        <v>239</v>
      </c>
      <c r="E9" s="195" t="s">
        <v>499</v>
      </c>
      <c r="F9" s="200" t="s">
        <v>245</v>
      </c>
      <c r="G9" s="200" t="s">
        <v>125</v>
      </c>
      <c r="H9" s="195" t="s">
        <v>238</v>
      </c>
      <c r="I9" s="195" t="s">
        <v>239</v>
      </c>
      <c r="J9" s="195" t="s">
        <v>499</v>
      </c>
      <c r="K9" s="195" t="s">
        <v>245</v>
      </c>
      <c r="L9" s="195" t="s">
        <v>126</v>
      </c>
      <c r="M9" s="195" t="s">
        <v>238</v>
      </c>
      <c r="N9" s="195" t="s">
        <v>239</v>
      </c>
      <c r="O9" s="195" t="s">
        <v>499</v>
      </c>
      <c r="P9" s="200" t="s">
        <v>245</v>
      </c>
      <c r="Q9" s="195" t="s">
        <v>503</v>
      </c>
      <c r="R9" s="19"/>
      <c r="S9" s="20"/>
    </row>
    <row r="10" spans="1:19" s="11" customFormat="1" x14ac:dyDescent="0.2">
      <c r="A10" s="195">
        <v>1</v>
      </c>
      <c r="B10" s="195">
        <v>2</v>
      </c>
      <c r="C10" s="195">
        <v>3</v>
      </c>
      <c r="D10" s="195">
        <v>4</v>
      </c>
      <c r="E10" s="195">
        <v>5</v>
      </c>
      <c r="F10" s="200">
        <v>6</v>
      </c>
      <c r="G10" s="195">
        <v>7</v>
      </c>
      <c r="H10" s="195">
        <v>8</v>
      </c>
      <c r="I10" s="195">
        <v>9</v>
      </c>
      <c r="J10" s="195">
        <v>10</v>
      </c>
      <c r="K10" s="195">
        <v>11</v>
      </c>
      <c r="L10" s="195">
        <v>12</v>
      </c>
      <c r="M10" s="195">
        <v>13</v>
      </c>
      <c r="N10" s="194">
        <v>14</v>
      </c>
      <c r="O10" s="246">
        <v>15</v>
      </c>
      <c r="P10" s="195">
        <v>16</v>
      </c>
      <c r="Q10" s="195">
        <v>17</v>
      </c>
    </row>
    <row r="11" spans="1:19" ht="24.95" customHeight="1" x14ac:dyDescent="0.2">
      <c r="A11" s="194">
        <v>1</v>
      </c>
      <c r="B11" s="225" t="s">
        <v>392</v>
      </c>
      <c r="C11" s="92">
        <v>20738</v>
      </c>
      <c r="D11" s="92">
        <v>2789</v>
      </c>
      <c r="E11" s="92">
        <v>0</v>
      </c>
      <c r="F11" s="92">
        <v>0</v>
      </c>
      <c r="G11" s="229">
        <f>C11+D11+E11+F11</f>
        <v>23527</v>
      </c>
      <c r="H11" s="92">
        <v>17709</v>
      </c>
      <c r="I11" s="92">
        <v>2427</v>
      </c>
      <c r="J11" s="92">
        <v>0</v>
      </c>
      <c r="K11" s="92">
        <v>0</v>
      </c>
      <c r="L11" s="229">
        <f>H11+I11+J11+K11</f>
        <v>20136</v>
      </c>
      <c r="M11" s="261">
        <v>3905590</v>
      </c>
      <c r="N11" s="261">
        <v>524246</v>
      </c>
      <c r="O11" s="261">
        <v>0</v>
      </c>
      <c r="P11" s="261">
        <v>0</v>
      </c>
      <c r="Q11" s="69">
        <f>M11+N11+O11+P11</f>
        <v>4429836</v>
      </c>
    </row>
    <row r="12" spans="1:19" ht="24.95" customHeight="1" x14ac:dyDescent="0.2">
      <c r="A12" s="194">
        <v>2</v>
      </c>
      <c r="B12" s="225" t="s">
        <v>393</v>
      </c>
      <c r="C12" s="92">
        <v>9693</v>
      </c>
      <c r="D12" s="92">
        <v>1055</v>
      </c>
      <c r="E12" s="92">
        <v>0</v>
      </c>
      <c r="F12" s="92">
        <v>0</v>
      </c>
      <c r="G12" s="229">
        <f t="shared" ref="G12:G23" si="0">C12+D12+E12+F12</f>
        <v>10748</v>
      </c>
      <c r="H12" s="92">
        <v>8411</v>
      </c>
      <c r="I12" s="92">
        <v>872</v>
      </c>
      <c r="J12" s="92">
        <v>0</v>
      </c>
      <c r="K12" s="92">
        <v>0</v>
      </c>
      <c r="L12" s="229">
        <f t="shared" ref="L12:L23" si="1">H12+I12+J12+K12</f>
        <v>9283</v>
      </c>
      <c r="M12" s="261">
        <v>1855535</v>
      </c>
      <c r="N12" s="261">
        <v>186683</v>
      </c>
      <c r="O12" s="261">
        <v>0</v>
      </c>
      <c r="P12" s="261">
        <v>0</v>
      </c>
      <c r="Q12" s="69">
        <f t="shared" ref="Q12:Q23" si="2">M12+N12+O12+P12</f>
        <v>2042218</v>
      </c>
    </row>
    <row r="13" spans="1:19" ht="24.95" customHeight="1" x14ac:dyDescent="0.2">
      <c r="A13" s="194">
        <v>3</v>
      </c>
      <c r="B13" s="225" t="s">
        <v>394</v>
      </c>
      <c r="C13" s="92">
        <v>15015</v>
      </c>
      <c r="D13" s="92">
        <v>932</v>
      </c>
      <c r="E13" s="92">
        <v>0</v>
      </c>
      <c r="F13" s="92">
        <v>0</v>
      </c>
      <c r="G13" s="229">
        <f t="shared" si="0"/>
        <v>15947</v>
      </c>
      <c r="H13" s="92">
        <v>13158</v>
      </c>
      <c r="I13" s="92">
        <v>834</v>
      </c>
      <c r="J13" s="92">
        <v>0</v>
      </c>
      <c r="K13" s="92">
        <v>0</v>
      </c>
      <c r="L13" s="229">
        <f t="shared" si="1"/>
        <v>13992</v>
      </c>
      <c r="M13" s="261">
        <v>2963979</v>
      </c>
      <c r="N13" s="261">
        <v>184244</v>
      </c>
      <c r="O13" s="261">
        <v>0</v>
      </c>
      <c r="P13" s="261">
        <v>0</v>
      </c>
      <c r="Q13" s="69">
        <f t="shared" si="2"/>
        <v>3148223</v>
      </c>
    </row>
    <row r="14" spans="1:19" ht="24.95" customHeight="1" x14ac:dyDescent="0.2">
      <c r="A14" s="194">
        <v>4</v>
      </c>
      <c r="B14" s="225" t="s">
        <v>395</v>
      </c>
      <c r="C14" s="92">
        <v>10100</v>
      </c>
      <c r="D14" s="92">
        <v>873</v>
      </c>
      <c r="E14" s="92">
        <v>0</v>
      </c>
      <c r="F14" s="92">
        <v>0</v>
      </c>
      <c r="G14" s="229">
        <f t="shared" si="0"/>
        <v>10973</v>
      </c>
      <c r="H14" s="92">
        <v>8136</v>
      </c>
      <c r="I14" s="92">
        <v>700</v>
      </c>
      <c r="J14" s="92">
        <v>0</v>
      </c>
      <c r="K14" s="92">
        <v>0</v>
      </c>
      <c r="L14" s="229">
        <f t="shared" si="1"/>
        <v>8836</v>
      </c>
      <c r="M14" s="261">
        <v>1791995</v>
      </c>
      <c r="N14" s="261">
        <v>151992</v>
      </c>
      <c r="O14" s="261">
        <v>0</v>
      </c>
      <c r="P14" s="261">
        <v>0</v>
      </c>
      <c r="Q14" s="69">
        <f t="shared" si="2"/>
        <v>1943987</v>
      </c>
    </row>
    <row r="15" spans="1:19" ht="24.95" customHeight="1" x14ac:dyDescent="0.2">
      <c r="A15" s="194">
        <v>5</v>
      </c>
      <c r="B15" s="227" t="s">
        <v>396</v>
      </c>
      <c r="C15" s="92">
        <v>23296</v>
      </c>
      <c r="D15" s="92">
        <v>9003</v>
      </c>
      <c r="E15" s="92">
        <v>0</v>
      </c>
      <c r="F15" s="92">
        <v>190</v>
      </c>
      <c r="G15" s="229">
        <f t="shared" si="0"/>
        <v>32489</v>
      </c>
      <c r="H15" s="92">
        <v>17742</v>
      </c>
      <c r="I15" s="92">
        <v>6749</v>
      </c>
      <c r="J15" s="92">
        <v>0</v>
      </c>
      <c r="K15" s="92">
        <v>179</v>
      </c>
      <c r="L15" s="229">
        <f t="shared" si="1"/>
        <v>24670</v>
      </c>
      <c r="M15" s="261">
        <v>4005946</v>
      </c>
      <c r="N15" s="261">
        <v>1477187</v>
      </c>
      <c r="O15" s="261">
        <v>0</v>
      </c>
      <c r="P15" s="261">
        <v>42851</v>
      </c>
      <c r="Q15" s="69">
        <f t="shared" si="2"/>
        <v>5525984</v>
      </c>
    </row>
    <row r="16" spans="1:19" ht="24.95" customHeight="1" x14ac:dyDescent="0.2">
      <c r="A16" s="194">
        <v>6</v>
      </c>
      <c r="B16" s="225" t="s">
        <v>397</v>
      </c>
      <c r="C16" s="92">
        <v>31382</v>
      </c>
      <c r="D16" s="92">
        <v>17873</v>
      </c>
      <c r="E16" s="92">
        <v>0</v>
      </c>
      <c r="F16" s="92">
        <v>2030</v>
      </c>
      <c r="G16" s="229">
        <f t="shared" si="0"/>
        <v>51285</v>
      </c>
      <c r="H16" s="92">
        <v>19882</v>
      </c>
      <c r="I16" s="92">
        <v>10886</v>
      </c>
      <c r="J16" s="92">
        <v>0</v>
      </c>
      <c r="K16" s="92">
        <v>1339</v>
      </c>
      <c r="L16" s="229">
        <f t="shared" si="1"/>
        <v>32107</v>
      </c>
      <c r="M16" s="261">
        <v>4331717</v>
      </c>
      <c r="N16" s="261">
        <v>2275182</v>
      </c>
      <c r="O16" s="261">
        <v>0</v>
      </c>
      <c r="P16" s="261">
        <v>296150</v>
      </c>
      <c r="Q16" s="69">
        <f>M16+N16+O16+P16</f>
        <v>6903049</v>
      </c>
    </row>
    <row r="17" spans="1:19" ht="24.95" customHeight="1" x14ac:dyDescent="0.2">
      <c r="A17" s="194">
        <v>7</v>
      </c>
      <c r="B17" s="227" t="s">
        <v>398</v>
      </c>
      <c r="C17" s="92">
        <v>24755</v>
      </c>
      <c r="D17" s="92">
        <v>4522</v>
      </c>
      <c r="E17" s="92">
        <v>0</v>
      </c>
      <c r="F17" s="92">
        <v>58</v>
      </c>
      <c r="G17" s="229">
        <f t="shared" si="0"/>
        <v>29335</v>
      </c>
      <c r="H17" s="92">
        <v>21731</v>
      </c>
      <c r="I17" s="92">
        <v>4012</v>
      </c>
      <c r="J17" s="92">
        <v>0</v>
      </c>
      <c r="K17" s="92">
        <v>57</v>
      </c>
      <c r="L17" s="229">
        <f t="shared" si="1"/>
        <v>25800</v>
      </c>
      <c r="M17" s="261">
        <v>4868577</v>
      </c>
      <c r="N17" s="261">
        <v>897410</v>
      </c>
      <c r="O17" s="261">
        <v>0</v>
      </c>
      <c r="P17" s="261">
        <v>13152</v>
      </c>
      <c r="Q17" s="69">
        <f>M17+N17+O17+P17</f>
        <v>5779139</v>
      </c>
    </row>
    <row r="18" spans="1:19" ht="24.95" customHeight="1" x14ac:dyDescent="0.2">
      <c r="A18" s="194">
        <v>8</v>
      </c>
      <c r="B18" s="225" t="s">
        <v>399</v>
      </c>
      <c r="C18" s="92">
        <v>19381</v>
      </c>
      <c r="D18" s="92">
        <v>3996</v>
      </c>
      <c r="E18" s="92">
        <v>0</v>
      </c>
      <c r="F18" s="92">
        <v>0</v>
      </c>
      <c r="G18" s="229">
        <f t="shared" si="0"/>
        <v>23377</v>
      </c>
      <c r="H18" s="92">
        <v>17006</v>
      </c>
      <c r="I18" s="92">
        <v>3553</v>
      </c>
      <c r="J18" s="92">
        <v>0</v>
      </c>
      <c r="K18" s="92">
        <v>0</v>
      </c>
      <c r="L18" s="229">
        <f t="shared" si="1"/>
        <v>20559</v>
      </c>
      <c r="M18" s="261">
        <v>3857440</v>
      </c>
      <c r="N18" s="261">
        <v>788785</v>
      </c>
      <c r="O18" s="261">
        <v>0</v>
      </c>
      <c r="P18" s="261">
        <v>0</v>
      </c>
      <c r="Q18" s="69">
        <f>M18+N18+O18+P18</f>
        <v>4646225</v>
      </c>
    </row>
    <row r="19" spans="1:19" ht="24.95" customHeight="1" x14ac:dyDescent="0.2">
      <c r="A19" s="194">
        <v>9</v>
      </c>
      <c r="B19" s="225" t="s">
        <v>400</v>
      </c>
      <c r="C19" s="92">
        <v>15885</v>
      </c>
      <c r="D19" s="92">
        <v>421</v>
      </c>
      <c r="E19" s="92">
        <v>0</v>
      </c>
      <c r="F19" s="92">
        <v>0</v>
      </c>
      <c r="G19" s="229">
        <f t="shared" si="0"/>
        <v>16306</v>
      </c>
      <c r="H19" s="92">
        <v>13893</v>
      </c>
      <c r="I19" s="92">
        <v>344</v>
      </c>
      <c r="J19" s="92">
        <v>0</v>
      </c>
      <c r="K19" s="92">
        <v>0</v>
      </c>
      <c r="L19" s="229">
        <f t="shared" si="1"/>
        <v>14237</v>
      </c>
      <c r="M19" s="261">
        <v>3107155</v>
      </c>
      <c r="N19" s="261">
        <v>82025</v>
      </c>
      <c r="O19" s="261">
        <v>0</v>
      </c>
      <c r="P19" s="261">
        <v>0</v>
      </c>
      <c r="Q19" s="69">
        <f t="shared" si="2"/>
        <v>3189180</v>
      </c>
    </row>
    <row r="20" spans="1:19" ht="24.95" customHeight="1" x14ac:dyDescent="0.2">
      <c r="A20" s="194">
        <v>10</v>
      </c>
      <c r="B20" s="225" t="s">
        <v>401</v>
      </c>
      <c r="C20" s="92">
        <v>9688</v>
      </c>
      <c r="D20" s="92">
        <v>1872</v>
      </c>
      <c r="E20" s="92">
        <v>0</v>
      </c>
      <c r="F20" s="92">
        <v>0</v>
      </c>
      <c r="G20" s="229">
        <f t="shared" si="0"/>
        <v>11560</v>
      </c>
      <c r="H20" s="92">
        <v>8826</v>
      </c>
      <c r="I20" s="92">
        <v>1665</v>
      </c>
      <c r="J20" s="92">
        <v>0</v>
      </c>
      <c r="K20" s="92">
        <v>0</v>
      </c>
      <c r="L20" s="229">
        <f t="shared" si="1"/>
        <v>10491</v>
      </c>
      <c r="M20" s="261">
        <v>2047605</v>
      </c>
      <c r="N20" s="261">
        <v>396826</v>
      </c>
      <c r="O20" s="261">
        <v>0</v>
      </c>
      <c r="P20" s="261">
        <v>0</v>
      </c>
      <c r="Q20" s="69">
        <f t="shared" si="2"/>
        <v>2444431</v>
      </c>
      <c r="S20" s="842"/>
    </row>
    <row r="21" spans="1:19" ht="24.95" customHeight="1" x14ac:dyDescent="0.2">
      <c r="A21" s="194">
        <v>11</v>
      </c>
      <c r="B21" s="225" t="s">
        <v>402</v>
      </c>
      <c r="C21" s="92">
        <v>24295</v>
      </c>
      <c r="D21" s="92">
        <v>2562</v>
      </c>
      <c r="E21" s="92">
        <v>0</v>
      </c>
      <c r="F21" s="92">
        <v>0</v>
      </c>
      <c r="G21" s="229">
        <f t="shared" si="0"/>
        <v>26857</v>
      </c>
      <c r="H21" s="92">
        <v>21045</v>
      </c>
      <c r="I21" s="92">
        <v>2201</v>
      </c>
      <c r="J21" s="92">
        <v>0</v>
      </c>
      <c r="K21" s="92">
        <v>0</v>
      </c>
      <c r="L21" s="229">
        <f t="shared" si="1"/>
        <v>23246</v>
      </c>
      <c r="M21" s="261">
        <v>4736471</v>
      </c>
      <c r="N21" s="261">
        <v>493988</v>
      </c>
      <c r="O21" s="261">
        <v>0</v>
      </c>
      <c r="P21" s="261">
        <v>0</v>
      </c>
      <c r="Q21" s="69">
        <f t="shared" si="2"/>
        <v>5230459</v>
      </c>
      <c r="S21" s="842"/>
    </row>
    <row r="22" spans="1:19" ht="24.95" customHeight="1" x14ac:dyDescent="0.2">
      <c r="A22" s="194">
        <v>12</v>
      </c>
      <c r="B22" s="225" t="s">
        <v>403</v>
      </c>
      <c r="C22" s="92">
        <v>33562</v>
      </c>
      <c r="D22" s="92">
        <v>10932</v>
      </c>
      <c r="E22" s="92">
        <v>0</v>
      </c>
      <c r="F22" s="92">
        <v>2088</v>
      </c>
      <c r="G22" s="229">
        <f t="shared" si="0"/>
        <v>46582</v>
      </c>
      <c r="H22" s="92">
        <v>24504</v>
      </c>
      <c r="I22" s="92">
        <v>8009</v>
      </c>
      <c r="J22" s="92">
        <v>0</v>
      </c>
      <c r="K22" s="92">
        <v>1613</v>
      </c>
      <c r="L22" s="229">
        <f t="shared" si="1"/>
        <v>34126</v>
      </c>
      <c r="M22" s="261">
        <v>5493637</v>
      </c>
      <c r="N22" s="261">
        <v>1769954</v>
      </c>
      <c r="O22" s="261">
        <v>0</v>
      </c>
      <c r="P22" s="261">
        <v>380689</v>
      </c>
      <c r="Q22" s="69">
        <f t="shared" si="2"/>
        <v>7644280</v>
      </c>
    </row>
    <row r="23" spans="1:19" ht="24.95" customHeight="1" x14ac:dyDescent="0.2">
      <c r="A23" s="194">
        <v>13</v>
      </c>
      <c r="B23" s="225" t="s">
        <v>404</v>
      </c>
      <c r="C23" s="92">
        <v>12521</v>
      </c>
      <c r="D23" s="92">
        <v>218</v>
      </c>
      <c r="E23" s="92">
        <v>0</v>
      </c>
      <c r="F23" s="92">
        <v>0</v>
      </c>
      <c r="G23" s="229">
        <f t="shared" si="0"/>
        <v>12739</v>
      </c>
      <c r="H23" s="92">
        <v>11168</v>
      </c>
      <c r="I23" s="92">
        <v>165</v>
      </c>
      <c r="J23" s="92">
        <v>0</v>
      </c>
      <c r="K23" s="92">
        <v>0</v>
      </c>
      <c r="L23" s="229">
        <f t="shared" si="1"/>
        <v>11333</v>
      </c>
      <c r="M23" s="261">
        <v>2522545</v>
      </c>
      <c r="N23" s="261">
        <v>38793</v>
      </c>
      <c r="O23" s="261">
        <v>0</v>
      </c>
      <c r="P23" s="261">
        <v>0</v>
      </c>
      <c r="Q23" s="69">
        <f t="shared" si="2"/>
        <v>2561338</v>
      </c>
    </row>
    <row r="24" spans="1:19" s="11" customFormat="1" ht="20.100000000000001" customHeight="1" x14ac:dyDescent="0.2">
      <c r="A24" s="194" t="s">
        <v>18</v>
      </c>
      <c r="B24" s="194"/>
      <c r="C24" s="194">
        <f>SUM(C11:C23)</f>
        <v>250311</v>
      </c>
      <c r="D24" s="194">
        <f t="shared" ref="D24:Q24" si="3">SUM(D11:D23)</f>
        <v>57048</v>
      </c>
      <c r="E24" s="194">
        <f t="shared" si="3"/>
        <v>0</v>
      </c>
      <c r="F24" s="194">
        <f t="shared" si="3"/>
        <v>4366</v>
      </c>
      <c r="G24" s="194">
        <f t="shared" si="3"/>
        <v>311725</v>
      </c>
      <c r="H24" s="194">
        <f t="shared" si="3"/>
        <v>203211</v>
      </c>
      <c r="I24" s="194">
        <f t="shared" si="3"/>
        <v>42417</v>
      </c>
      <c r="J24" s="194">
        <f t="shared" si="3"/>
        <v>0</v>
      </c>
      <c r="K24" s="194">
        <f t="shared" si="3"/>
        <v>3188</v>
      </c>
      <c r="L24" s="194">
        <f t="shared" si="3"/>
        <v>248816</v>
      </c>
      <c r="M24" s="194">
        <f t="shared" si="3"/>
        <v>45488192</v>
      </c>
      <c r="N24" s="194">
        <f t="shared" si="3"/>
        <v>9267315</v>
      </c>
      <c r="O24" s="194">
        <f t="shared" si="3"/>
        <v>0</v>
      </c>
      <c r="P24" s="194">
        <f t="shared" si="3"/>
        <v>732842</v>
      </c>
      <c r="Q24" s="194">
        <f t="shared" si="3"/>
        <v>55488349</v>
      </c>
    </row>
    <row r="25" spans="1:19" x14ac:dyDescent="0.2">
      <c r="A25" s="51"/>
      <c r="B25" s="16"/>
      <c r="C25" s="16"/>
      <c r="D25" s="16"/>
      <c r="E25" s="16"/>
      <c r="F25" s="16"/>
      <c r="G25" s="16"/>
      <c r="H25" s="16"/>
      <c r="I25" s="16"/>
      <c r="J25" s="16"/>
      <c r="K25" s="16"/>
      <c r="L25" s="16"/>
      <c r="M25" s="16"/>
      <c r="N25" s="16"/>
      <c r="O25" s="16"/>
      <c r="P25" s="16"/>
      <c r="Q25" s="16"/>
    </row>
    <row r="26" spans="1:19" x14ac:dyDescent="0.2">
      <c r="A26" s="7" t="s">
        <v>7</v>
      </c>
      <c r="B26"/>
      <c r="D26"/>
    </row>
    <row r="27" spans="1:19" x14ac:dyDescent="0.2">
      <c r="A27" t="s">
        <v>8</v>
      </c>
      <c r="B27"/>
      <c r="D27"/>
    </row>
    <row r="28" spans="1:19" x14ac:dyDescent="0.2">
      <c r="A28" t="s">
        <v>9</v>
      </c>
      <c r="B28"/>
      <c r="D28"/>
      <c r="I28" s="8"/>
      <c r="J28" s="8"/>
      <c r="K28" s="8"/>
      <c r="L28" s="8"/>
    </row>
    <row r="29" spans="1:19" x14ac:dyDescent="0.2">
      <c r="A29" s="298" t="s">
        <v>596</v>
      </c>
      <c r="B29" s="298"/>
      <c r="D29"/>
      <c r="I29" s="16"/>
      <c r="J29" s="16"/>
      <c r="K29" s="16"/>
      <c r="L29" s="16"/>
    </row>
    <row r="30" spans="1:19" x14ac:dyDescent="0.2">
      <c r="A30" s="1089"/>
      <c r="B30" s="1089"/>
      <c r="C30" s="1089"/>
      <c r="D30" s="1089"/>
      <c r="I30" s="16"/>
      <c r="J30" s="16"/>
      <c r="K30" s="16"/>
      <c r="L30" s="16"/>
    </row>
    <row r="31" spans="1:19" x14ac:dyDescent="0.2">
      <c r="I31" s="16"/>
      <c r="J31" s="16"/>
      <c r="K31" s="16"/>
      <c r="L31" s="16"/>
    </row>
    <row r="33" spans="1:19" x14ac:dyDescent="0.2">
      <c r="A33" s="11" t="s">
        <v>11</v>
      </c>
      <c r="B33" s="11"/>
      <c r="C33" s="11"/>
      <c r="D33" s="11"/>
      <c r="E33" s="11"/>
      <c r="F33" s="11"/>
      <c r="G33" s="11"/>
      <c r="I33" s="11"/>
      <c r="O33" s="1086" t="s">
        <v>12</v>
      </c>
      <c r="P33" s="1086"/>
      <c r="Q33" s="1087"/>
    </row>
    <row r="34" spans="1:19" ht="12.75" customHeight="1" x14ac:dyDescent="0.2">
      <c r="A34" s="1086" t="s">
        <v>13</v>
      </c>
      <c r="B34" s="1086"/>
      <c r="C34" s="1086"/>
      <c r="D34" s="1086"/>
      <c r="E34" s="1086"/>
      <c r="F34" s="1086"/>
      <c r="G34" s="1086"/>
      <c r="H34" s="1086"/>
      <c r="I34" s="1086"/>
      <c r="J34" s="1086"/>
      <c r="K34" s="1086"/>
      <c r="L34" s="1086"/>
      <c r="M34" s="1086"/>
      <c r="N34" s="1086"/>
      <c r="O34" s="1086"/>
      <c r="P34" s="1086"/>
      <c r="Q34" s="1086"/>
    </row>
    <row r="35" spans="1:19" ht="12.75" customHeight="1" x14ac:dyDescent="0.2">
      <c r="A35" s="1086" t="s">
        <v>94</v>
      </c>
      <c r="B35" s="1086"/>
      <c r="C35" s="1086"/>
      <c r="D35" s="1086"/>
      <c r="E35" s="1086"/>
      <c r="F35" s="1086"/>
      <c r="G35" s="1086"/>
      <c r="H35" s="1086"/>
      <c r="I35" s="1086"/>
      <c r="J35" s="1086"/>
      <c r="K35" s="1086"/>
      <c r="L35" s="1086"/>
      <c r="M35" s="1086"/>
      <c r="N35" s="1086"/>
      <c r="O35" s="1086"/>
      <c r="P35" s="1086"/>
      <c r="Q35" s="1086"/>
      <c r="R35" s="55"/>
      <c r="S35" s="55"/>
    </row>
    <row r="36" spans="1:19" x14ac:dyDescent="0.2">
      <c r="A36" s="11"/>
      <c r="B36" s="11"/>
      <c r="C36" s="11"/>
      <c r="D36" s="11"/>
      <c r="E36" s="11"/>
      <c r="F36" s="11"/>
      <c r="N36" s="1000" t="s">
        <v>85</v>
      </c>
      <c r="O36" s="1000"/>
      <c r="P36" s="1000"/>
      <c r="Q36" s="1000"/>
    </row>
    <row r="37" spans="1:19" x14ac:dyDescent="0.2">
      <c r="A37" s="1082"/>
      <c r="B37" s="1082"/>
      <c r="C37" s="1082"/>
      <c r="D37" s="1082"/>
      <c r="E37" s="1082"/>
      <c r="F37" s="1082"/>
      <c r="G37" s="1082"/>
      <c r="H37" s="1082"/>
      <c r="I37" s="1082"/>
      <c r="J37" s="1082"/>
      <c r="K37" s="1082"/>
      <c r="L37" s="1082"/>
    </row>
  </sheetData>
  <mergeCells count="17">
    <mergeCell ref="O1:Q1"/>
    <mergeCell ref="M8:Q8"/>
    <mergeCell ref="A34:Q34"/>
    <mergeCell ref="A8:A9"/>
    <mergeCell ref="A35:Q35"/>
    <mergeCell ref="B8:B9"/>
    <mergeCell ref="A2:Q2"/>
    <mergeCell ref="A3:Q3"/>
    <mergeCell ref="A5:Q5"/>
    <mergeCell ref="N7:R7"/>
    <mergeCell ref="C8:G8"/>
    <mergeCell ref="H8:L8"/>
    <mergeCell ref="A30:D30"/>
    <mergeCell ref="O33:Q33"/>
    <mergeCell ref="A7:C7"/>
    <mergeCell ref="A37:L37"/>
    <mergeCell ref="N36:Q36"/>
  </mergeCells>
  <phoneticPr fontId="0" type="noConversion"/>
  <printOptions horizontalCentered="1"/>
  <pageMargins left="0.70866141732283472" right="0.39" top="0.23622047244094491" bottom="0" header="0.31496062992125984" footer="0.31496062992125984"/>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M31"/>
  <sheetViews>
    <sheetView view="pageBreakPreview" zoomScaleNormal="100" zoomScaleSheetLayoutView="100" workbookViewId="0">
      <selection activeCell="K6" sqref="K6"/>
    </sheetView>
  </sheetViews>
  <sheetFormatPr defaultRowHeight="12.75" x14ac:dyDescent="0.2"/>
  <cols>
    <col min="1" max="1" width="8" style="752" customWidth="1"/>
    <col min="2" max="2" width="18.85546875" style="752" customWidth="1"/>
    <col min="3" max="3" width="19.42578125" style="752" customWidth="1"/>
    <col min="4" max="4" width="22" style="752" customWidth="1"/>
    <col min="5" max="5" width="21.7109375" style="752" customWidth="1"/>
    <col min="6" max="6" width="20.28515625" style="752" customWidth="1"/>
    <col min="7" max="7" width="18.7109375" style="752" customWidth="1"/>
    <col min="8" max="9" width="9.140625" style="752"/>
    <col min="10" max="11" width="9.140625" style="752" customWidth="1"/>
    <col min="12" max="16384" width="9.140625" style="752"/>
  </cols>
  <sheetData>
    <row r="1" spans="1:7" ht="20.25" customHeight="1" x14ac:dyDescent="0.25">
      <c r="G1" s="753" t="s">
        <v>806</v>
      </c>
    </row>
    <row r="2" spans="1:7" ht="18" x14ac:dyDescent="0.35">
      <c r="A2" s="1095" t="s">
        <v>0</v>
      </c>
      <c r="B2" s="1095"/>
      <c r="C2" s="1095"/>
      <c r="D2" s="1095"/>
      <c r="E2" s="1095"/>
      <c r="F2" s="1095"/>
      <c r="G2" s="1095"/>
    </row>
    <row r="3" spans="1:7" ht="21" x14ac:dyDescent="0.35">
      <c r="A3" s="1096" t="s">
        <v>794</v>
      </c>
      <c r="B3" s="1096"/>
      <c r="C3" s="1096"/>
      <c r="D3" s="1096"/>
      <c r="E3" s="1096"/>
      <c r="F3" s="1096"/>
      <c r="G3" s="1096"/>
    </row>
    <row r="4" spans="1:7" ht="15" x14ac:dyDescent="0.3">
      <c r="A4" s="754"/>
      <c r="B4" s="754"/>
    </row>
    <row r="5" spans="1:7" ht="18" customHeight="1" x14ac:dyDescent="0.35">
      <c r="A5" s="1097" t="s">
        <v>807</v>
      </c>
      <c r="B5" s="1097"/>
      <c r="C5" s="1097"/>
      <c r="D5" s="1097"/>
      <c r="E5" s="1097"/>
      <c r="F5" s="1097"/>
      <c r="G5" s="1097"/>
    </row>
    <row r="6" spans="1:7" ht="15" x14ac:dyDescent="0.3">
      <c r="A6" s="755" t="s">
        <v>613</v>
      </c>
      <c r="B6" s="755"/>
    </row>
    <row r="7" spans="1:7" ht="15" x14ac:dyDescent="0.3">
      <c r="A7" s="755"/>
      <c r="B7" s="755"/>
      <c r="F7" s="756" t="s">
        <v>911</v>
      </c>
      <c r="G7" s="757"/>
    </row>
    <row r="8" spans="1:7" ht="42" customHeight="1" x14ac:dyDescent="0.2">
      <c r="A8" s="758" t="s">
        <v>2</v>
      </c>
      <c r="B8" s="758" t="s">
        <v>3</v>
      </c>
      <c r="C8" s="759" t="s">
        <v>808</v>
      </c>
      <c r="D8" s="759" t="s">
        <v>809</v>
      </c>
      <c r="E8" s="759" t="s">
        <v>810</v>
      </c>
      <c r="F8" s="759" t="s">
        <v>811</v>
      </c>
      <c r="G8" s="760" t="s">
        <v>812</v>
      </c>
    </row>
    <row r="9" spans="1:7" s="753" customFormat="1" ht="19.5" customHeight="1" x14ac:dyDescent="0.25">
      <c r="A9" s="761" t="s">
        <v>293</v>
      </c>
      <c r="B9" s="761" t="s">
        <v>294</v>
      </c>
      <c r="C9" s="761" t="s">
        <v>295</v>
      </c>
      <c r="D9" s="761" t="s">
        <v>296</v>
      </c>
      <c r="E9" s="761" t="s">
        <v>297</v>
      </c>
      <c r="F9" s="761" t="s">
        <v>298</v>
      </c>
      <c r="G9" s="761" t="s">
        <v>299</v>
      </c>
    </row>
    <row r="10" spans="1:7" ht="19.5" customHeight="1" x14ac:dyDescent="0.2">
      <c r="A10" s="741">
        <v>1</v>
      </c>
      <c r="B10" s="225" t="s">
        <v>392</v>
      </c>
      <c r="C10" s="781">
        <v>48972</v>
      </c>
      <c r="D10" s="781">
        <v>43453</v>
      </c>
      <c r="E10" s="781">
        <v>563</v>
      </c>
      <c r="F10" s="781">
        <f>C10-(D10+E10)</f>
        <v>4956</v>
      </c>
      <c r="G10" s="762"/>
    </row>
    <row r="11" spans="1:7" ht="19.5" customHeight="1" x14ac:dyDescent="0.2">
      <c r="A11" s="741">
        <v>2</v>
      </c>
      <c r="B11" s="225" t="s">
        <v>393</v>
      </c>
      <c r="C11" s="781">
        <v>23915</v>
      </c>
      <c r="D11" s="781">
        <v>22275</v>
      </c>
      <c r="E11" s="781">
        <v>46</v>
      </c>
      <c r="F11" s="781">
        <f t="shared" ref="F11:F22" si="0">C11-(D11+E11)</f>
        <v>1594</v>
      </c>
      <c r="G11" s="762"/>
    </row>
    <row r="12" spans="1:7" ht="19.5" customHeight="1" x14ac:dyDescent="0.2">
      <c r="A12" s="741">
        <v>3</v>
      </c>
      <c r="B12" s="225" t="s">
        <v>394</v>
      </c>
      <c r="C12" s="781">
        <v>37211</v>
      </c>
      <c r="D12" s="781">
        <v>35130</v>
      </c>
      <c r="E12" s="781">
        <v>628</v>
      </c>
      <c r="F12" s="781">
        <f t="shared" si="0"/>
        <v>1453</v>
      </c>
      <c r="G12" s="762"/>
    </row>
    <row r="13" spans="1:7" ht="19.5" customHeight="1" x14ac:dyDescent="0.2">
      <c r="A13" s="741">
        <v>4</v>
      </c>
      <c r="B13" s="225" t="s">
        <v>395</v>
      </c>
      <c r="C13" s="781">
        <v>24475</v>
      </c>
      <c r="D13" s="781">
        <v>23818</v>
      </c>
      <c r="E13" s="781">
        <v>476</v>
      </c>
      <c r="F13" s="781">
        <f t="shared" si="0"/>
        <v>181</v>
      </c>
      <c r="G13" s="762"/>
    </row>
    <row r="14" spans="1:7" ht="19.5" customHeight="1" x14ac:dyDescent="0.2">
      <c r="A14" s="741">
        <v>5</v>
      </c>
      <c r="B14" s="227" t="s">
        <v>396</v>
      </c>
      <c r="C14" s="781">
        <v>76914</v>
      </c>
      <c r="D14" s="781">
        <v>72344</v>
      </c>
      <c r="E14" s="781">
        <v>920</v>
      </c>
      <c r="F14" s="781">
        <f t="shared" si="0"/>
        <v>3650</v>
      </c>
      <c r="G14" s="762"/>
    </row>
    <row r="15" spans="1:7" ht="19.5" customHeight="1" x14ac:dyDescent="0.2">
      <c r="A15" s="741">
        <v>6</v>
      </c>
      <c r="B15" s="225" t="s">
        <v>397</v>
      </c>
      <c r="C15" s="781">
        <v>152840</v>
      </c>
      <c r="D15" s="781">
        <v>108773</v>
      </c>
      <c r="E15" s="781">
        <v>2463</v>
      </c>
      <c r="F15" s="781">
        <f t="shared" si="0"/>
        <v>41604</v>
      </c>
      <c r="G15" s="762"/>
    </row>
    <row r="16" spans="1:7" ht="19.5" customHeight="1" x14ac:dyDescent="0.2">
      <c r="A16" s="741">
        <v>7</v>
      </c>
      <c r="B16" s="227" t="s">
        <v>398</v>
      </c>
      <c r="C16" s="781">
        <v>64856</v>
      </c>
      <c r="D16" s="781">
        <v>63405</v>
      </c>
      <c r="E16" s="781">
        <v>857</v>
      </c>
      <c r="F16" s="781">
        <f t="shared" si="0"/>
        <v>594</v>
      </c>
      <c r="G16" s="762"/>
    </row>
    <row r="17" spans="1:13" ht="19.5" customHeight="1" x14ac:dyDescent="0.2">
      <c r="A17" s="741">
        <v>8</v>
      </c>
      <c r="B17" s="225" t="s">
        <v>399</v>
      </c>
      <c r="C17" s="781">
        <v>49617</v>
      </c>
      <c r="D17" s="781">
        <v>46042</v>
      </c>
      <c r="E17" s="783">
        <v>1829</v>
      </c>
      <c r="F17" s="781">
        <f t="shared" si="0"/>
        <v>1746</v>
      </c>
      <c r="G17" s="762"/>
    </row>
    <row r="18" spans="1:13" ht="19.5" customHeight="1" x14ac:dyDescent="0.2">
      <c r="A18" s="741">
        <v>9</v>
      </c>
      <c r="B18" s="225" t="s">
        <v>400</v>
      </c>
      <c r="C18" s="781">
        <v>36685</v>
      </c>
      <c r="D18" s="781">
        <v>34493</v>
      </c>
      <c r="E18" s="781">
        <v>1657</v>
      </c>
      <c r="F18" s="781">
        <f t="shared" si="0"/>
        <v>535</v>
      </c>
      <c r="G18" s="762"/>
    </row>
    <row r="19" spans="1:13" ht="19.5" customHeight="1" x14ac:dyDescent="0.2">
      <c r="A19" s="741">
        <v>10</v>
      </c>
      <c r="B19" s="225" t="s">
        <v>401</v>
      </c>
      <c r="C19" s="781">
        <v>24407</v>
      </c>
      <c r="D19" s="781">
        <v>23339</v>
      </c>
      <c r="E19" s="781">
        <v>34</v>
      </c>
      <c r="F19" s="781">
        <f t="shared" si="0"/>
        <v>1034</v>
      </c>
      <c r="G19" s="762"/>
    </row>
    <row r="20" spans="1:13" ht="19.5" customHeight="1" x14ac:dyDescent="0.2">
      <c r="A20" s="741">
        <v>11</v>
      </c>
      <c r="B20" s="225" t="s">
        <v>402</v>
      </c>
      <c r="C20" s="781">
        <v>58261</v>
      </c>
      <c r="D20" s="781">
        <v>51925</v>
      </c>
      <c r="E20" s="781">
        <v>716</v>
      </c>
      <c r="F20" s="781">
        <f t="shared" si="0"/>
        <v>5620</v>
      </c>
      <c r="G20" s="762"/>
    </row>
    <row r="21" spans="1:13" ht="19.5" customHeight="1" x14ac:dyDescent="0.2">
      <c r="A21" s="741">
        <v>12</v>
      </c>
      <c r="B21" s="225" t="s">
        <v>403</v>
      </c>
      <c r="C21" s="781">
        <v>124210</v>
      </c>
      <c r="D21" s="781">
        <v>106410</v>
      </c>
      <c r="E21" s="781">
        <v>407</v>
      </c>
      <c r="F21" s="781">
        <f t="shared" si="0"/>
        <v>17393</v>
      </c>
      <c r="G21" s="762"/>
    </row>
    <row r="22" spans="1:13" ht="19.5" customHeight="1" x14ac:dyDescent="0.2">
      <c r="A22" s="741">
        <v>13</v>
      </c>
      <c r="B22" s="225" t="s">
        <v>404</v>
      </c>
      <c r="C22" s="781">
        <v>31520</v>
      </c>
      <c r="D22" s="781">
        <v>26437</v>
      </c>
      <c r="E22" s="781">
        <v>497</v>
      </c>
      <c r="F22" s="781">
        <f t="shared" si="0"/>
        <v>4586</v>
      </c>
      <c r="G22" s="762"/>
    </row>
    <row r="23" spans="1:13" ht="19.5" customHeight="1" x14ac:dyDescent="0.2">
      <c r="A23" s="741" t="s">
        <v>18</v>
      </c>
      <c r="B23" s="741"/>
      <c r="C23" s="782">
        <f>SUM(C10:C22)</f>
        <v>753883</v>
      </c>
      <c r="D23" s="782">
        <f t="shared" ref="D23:G23" si="1">SUM(D10:D22)</f>
        <v>657844</v>
      </c>
      <c r="E23" s="782">
        <f>SUM(E10:E22)</f>
        <v>11093</v>
      </c>
      <c r="F23" s="782">
        <f t="shared" si="1"/>
        <v>84946</v>
      </c>
      <c r="G23" s="782">
        <f t="shared" si="1"/>
        <v>0</v>
      </c>
    </row>
    <row r="24" spans="1:13" x14ac:dyDescent="0.2">
      <c r="D24" s="917">
        <f>D23/C23</f>
        <v>0.87260755316143224</v>
      </c>
      <c r="E24" s="917">
        <f>E23/C23</f>
        <v>1.4714484873647503E-2</v>
      </c>
      <c r="F24" s="917">
        <f>F23/C23</f>
        <v>0.11267796196492029</v>
      </c>
    </row>
    <row r="27" spans="1:13" ht="15" customHeight="1" x14ac:dyDescent="0.2">
      <c r="A27" s="763"/>
      <c r="B27" s="763"/>
      <c r="C27" s="763"/>
      <c r="D27" s="763"/>
      <c r="E27" s="1094" t="s">
        <v>12</v>
      </c>
      <c r="F27" s="1094"/>
      <c r="G27" s="764"/>
      <c r="H27" s="764"/>
      <c r="I27" s="764"/>
    </row>
    <row r="28" spans="1:13" ht="15" customHeight="1" x14ac:dyDescent="0.2">
      <c r="A28" s="763"/>
      <c r="B28" s="763"/>
      <c r="C28" s="763"/>
      <c r="D28" s="763"/>
      <c r="E28" s="1094" t="s">
        <v>13</v>
      </c>
      <c r="F28" s="1094"/>
      <c r="G28" s="764"/>
      <c r="H28" s="764"/>
      <c r="I28" s="764"/>
    </row>
    <row r="29" spans="1:13" ht="15" customHeight="1" x14ac:dyDescent="0.2">
      <c r="A29" s="763"/>
      <c r="B29" s="763"/>
      <c r="C29" s="763"/>
      <c r="D29" s="763"/>
      <c r="E29" s="1094" t="s">
        <v>88</v>
      </c>
      <c r="F29" s="1094"/>
      <c r="G29" s="764"/>
      <c r="H29" s="764"/>
      <c r="I29" s="764"/>
    </row>
    <row r="30" spans="1:13" x14ac:dyDescent="0.2">
      <c r="A30" s="763" t="s">
        <v>11</v>
      </c>
      <c r="C30" s="763"/>
      <c r="D30" s="763"/>
      <c r="E30" s="763"/>
      <c r="F30" s="765" t="s">
        <v>85</v>
      </c>
      <c r="G30" s="766"/>
      <c r="H30" s="763"/>
      <c r="I30" s="763"/>
    </row>
    <row r="31" spans="1:13" x14ac:dyDescent="0.2">
      <c r="A31" s="763"/>
      <c r="B31" s="763"/>
      <c r="C31" s="763"/>
      <c r="D31" s="763"/>
      <c r="E31" s="763"/>
      <c r="F31" s="763"/>
      <c r="G31" s="763"/>
      <c r="H31" s="763"/>
      <c r="I31" s="763"/>
      <c r="J31" s="763"/>
      <c r="K31" s="763"/>
      <c r="L31" s="763"/>
      <c r="M31" s="763"/>
    </row>
  </sheetData>
  <mergeCells count="6">
    <mergeCell ref="E27:F27"/>
    <mergeCell ref="E28:F28"/>
    <mergeCell ref="E29:F29"/>
    <mergeCell ref="A2:G2"/>
    <mergeCell ref="A3:G3"/>
    <mergeCell ref="A5:G5"/>
  </mergeCells>
  <pageMargins left="0.70866141732283472" right="0.70866141732283472" top="0.23622047244094491" bottom="0"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pageSetUpPr fitToPage="1"/>
  </sheetPr>
  <dimension ref="A1:W37"/>
  <sheetViews>
    <sheetView view="pageBreakPreview" topLeftCell="A10" zoomScaleSheetLayoutView="100" workbookViewId="0">
      <selection activeCell="I26" sqref="I26:J26"/>
    </sheetView>
  </sheetViews>
  <sheetFormatPr defaultRowHeight="12.75" x14ac:dyDescent="0.2"/>
  <cols>
    <col min="1" max="1" width="7.42578125" style="12" customWidth="1"/>
    <col min="2" max="2" width="17.140625" style="12" customWidth="1"/>
    <col min="3" max="3" width="14" style="12" customWidth="1"/>
    <col min="4" max="4" width="10" style="12" customWidth="1"/>
    <col min="5" max="5" width="9.7109375" style="12" customWidth="1"/>
    <col min="6" max="6" width="15.28515625" style="12" customWidth="1"/>
    <col min="7" max="7" width="13.28515625" style="12" customWidth="1"/>
    <col min="8" max="8" width="14.7109375" style="12" customWidth="1"/>
    <col min="9" max="9" width="16.7109375" style="12" customWidth="1"/>
    <col min="10" max="10" width="19.28515625" style="12" customWidth="1"/>
    <col min="11" max="11" width="10.5703125" style="12" bestFit="1" customWidth="1"/>
    <col min="12" max="12" width="9.140625" style="12"/>
    <col min="13" max="13" width="12" style="12" bestFit="1" customWidth="1"/>
    <col min="14" max="16384" width="9.140625" style="12"/>
  </cols>
  <sheetData>
    <row r="1" spans="1:23" customFormat="1" x14ac:dyDescent="0.2">
      <c r="E1" s="985"/>
      <c r="F1" s="985"/>
      <c r="G1" s="985"/>
      <c r="H1" s="985"/>
      <c r="I1" s="985"/>
      <c r="J1" s="86" t="s">
        <v>64</v>
      </c>
    </row>
    <row r="2" spans="1:23" customFormat="1" ht="15" x14ac:dyDescent="0.2">
      <c r="A2" s="1080" t="s">
        <v>0</v>
      </c>
      <c r="B2" s="1080"/>
      <c r="C2" s="1080"/>
      <c r="D2" s="1080"/>
      <c r="E2" s="1080"/>
      <c r="F2" s="1080"/>
      <c r="G2" s="1080"/>
      <c r="H2" s="1080"/>
      <c r="I2" s="1080"/>
      <c r="J2" s="1080"/>
    </row>
    <row r="3" spans="1:23" customFormat="1" ht="15.75" x14ac:dyDescent="0.25">
      <c r="A3" s="1056" t="s">
        <v>794</v>
      </c>
      <c r="B3" s="1056"/>
      <c r="C3" s="1056"/>
      <c r="D3" s="1056"/>
      <c r="E3" s="1056"/>
      <c r="F3" s="1056"/>
      <c r="G3" s="1056"/>
      <c r="H3" s="1056"/>
      <c r="I3" s="1056"/>
      <c r="J3" s="1056"/>
      <c r="Q3" s="9"/>
    </row>
    <row r="4" spans="1:23" ht="22.5" customHeight="1" x14ac:dyDescent="0.25">
      <c r="A4" s="1085" t="s">
        <v>813</v>
      </c>
      <c r="B4" s="1085"/>
      <c r="C4" s="1085"/>
      <c r="D4" s="1085"/>
      <c r="E4" s="1085"/>
      <c r="F4" s="1085"/>
      <c r="G4" s="1085"/>
      <c r="H4" s="1085"/>
      <c r="I4" s="1085"/>
      <c r="J4" s="1085"/>
      <c r="K4" s="70"/>
      <c r="L4" s="70"/>
      <c r="M4" s="70"/>
      <c r="N4" s="70"/>
      <c r="O4" s="70"/>
      <c r="P4" s="70"/>
      <c r="Q4" s="95"/>
    </row>
    <row r="5" spans="1:23" ht="13.5" customHeight="1" x14ac:dyDescent="0.2">
      <c r="A5" s="1"/>
      <c r="B5" s="1"/>
      <c r="C5" s="1"/>
      <c r="D5" s="1"/>
      <c r="E5" s="1"/>
      <c r="F5" s="1"/>
      <c r="G5" s="1"/>
      <c r="H5" s="1"/>
      <c r="I5" s="1"/>
      <c r="J5" s="1"/>
      <c r="Q5" s="16"/>
    </row>
    <row r="6" spans="1:23" ht="0.75" customHeight="1" x14ac:dyDescent="0.2">
      <c r="Q6" s="16"/>
    </row>
    <row r="7" spans="1:23" x14ac:dyDescent="0.2">
      <c r="A7" s="1098" t="s">
        <v>463</v>
      </c>
      <c r="B7" s="1098"/>
      <c r="C7" s="1098"/>
      <c r="H7" s="1088" t="s">
        <v>911</v>
      </c>
      <c r="I7" s="1088"/>
      <c r="J7" s="67"/>
      <c r="K7" s="73"/>
      <c r="L7" s="73"/>
      <c r="Q7" s="16"/>
    </row>
    <row r="8" spans="1:23" ht="21.75" customHeight="1" x14ac:dyDescent="0.2">
      <c r="A8" s="1064" t="s">
        <v>2</v>
      </c>
      <c r="B8" s="1064" t="s">
        <v>3</v>
      </c>
      <c r="C8" s="1093" t="s">
        <v>814</v>
      </c>
      <c r="D8" s="1071"/>
      <c r="E8" s="1071"/>
      <c r="F8" s="1084"/>
      <c r="G8" s="1093" t="s">
        <v>109</v>
      </c>
      <c r="H8" s="1071"/>
      <c r="I8" s="1071"/>
      <c r="J8" s="1084"/>
      <c r="Q8" s="16"/>
      <c r="R8" s="16"/>
    </row>
    <row r="9" spans="1:23" ht="77.25" customHeight="1" x14ac:dyDescent="0.2">
      <c r="A9" s="1064"/>
      <c r="B9" s="1064"/>
      <c r="C9" s="195" t="s">
        <v>201</v>
      </c>
      <c r="D9" s="195" t="s">
        <v>16</v>
      </c>
      <c r="E9" s="825" t="s">
        <v>912</v>
      </c>
      <c r="F9" s="200" t="s">
        <v>218</v>
      </c>
      <c r="G9" s="195" t="s">
        <v>201</v>
      </c>
      <c r="H9" s="247" t="s">
        <v>17</v>
      </c>
      <c r="I9" s="248" t="s">
        <v>118</v>
      </c>
      <c r="J9" s="743" t="s">
        <v>219</v>
      </c>
      <c r="K9" s="16"/>
      <c r="L9" s="16"/>
      <c r="M9" s="16"/>
      <c r="N9" s="16"/>
      <c r="O9" s="16"/>
      <c r="P9" s="16"/>
      <c r="Q9" s="16"/>
      <c r="R9" s="16"/>
      <c r="S9" s="16"/>
      <c r="T9" s="16"/>
      <c r="U9" s="16"/>
      <c r="V9" s="16"/>
      <c r="W9" s="16"/>
    </row>
    <row r="10" spans="1:23" x14ac:dyDescent="0.2">
      <c r="A10" s="195">
        <v>1</v>
      </c>
      <c r="B10" s="195">
        <v>2</v>
      </c>
      <c r="C10" s="195">
        <v>3</v>
      </c>
      <c r="D10" s="240">
        <v>4</v>
      </c>
      <c r="E10" s="195">
        <v>5</v>
      </c>
      <c r="F10" s="200">
        <v>6</v>
      </c>
      <c r="G10" s="195">
        <v>7</v>
      </c>
      <c r="H10" s="201">
        <v>8</v>
      </c>
      <c r="I10" s="195">
        <v>9</v>
      </c>
      <c r="J10" s="743">
        <v>10</v>
      </c>
      <c r="K10" s="16"/>
      <c r="L10" s="16"/>
      <c r="M10" s="16"/>
      <c r="N10" s="16"/>
      <c r="O10" s="16"/>
      <c r="P10" s="16"/>
      <c r="Q10" s="16"/>
      <c r="R10" s="16"/>
      <c r="S10" s="16"/>
      <c r="T10" s="16"/>
      <c r="U10" s="16"/>
      <c r="V10" s="16"/>
      <c r="W10" s="16"/>
    </row>
    <row r="11" spans="1:23" ht="24.95" customHeight="1" x14ac:dyDescent="0.2">
      <c r="A11" s="194">
        <v>1</v>
      </c>
      <c r="B11" s="225" t="s">
        <v>392</v>
      </c>
      <c r="C11" s="226">
        <v>1407</v>
      </c>
      <c r="D11" s="353">
        <v>25684</v>
      </c>
      <c r="E11" s="92">
        <v>237</v>
      </c>
      <c r="F11" s="242">
        <f>D11*E11</f>
        <v>6087108</v>
      </c>
      <c r="G11" s="69">
        <v>1371</v>
      </c>
      <c r="H11" s="92">
        <v>5322845</v>
      </c>
      <c r="I11" s="249">
        <v>226</v>
      </c>
      <c r="J11" s="749">
        <v>23552</v>
      </c>
      <c r="K11" s="16">
        <v>25397</v>
      </c>
      <c r="L11" s="16"/>
      <c r="M11" s="854">
        <f>J11/K11*100</f>
        <v>92.735362444383199</v>
      </c>
      <c r="N11" s="16"/>
      <c r="O11" s="16"/>
      <c r="P11" s="16"/>
      <c r="Q11" s="16"/>
      <c r="R11" s="16"/>
      <c r="S11" s="16"/>
      <c r="T11" s="16"/>
      <c r="U11" s="16"/>
      <c r="V11" s="16"/>
      <c r="W11" s="16"/>
    </row>
    <row r="12" spans="1:23" ht="24.95" customHeight="1" x14ac:dyDescent="0.2">
      <c r="A12" s="194">
        <v>2</v>
      </c>
      <c r="B12" s="225" t="s">
        <v>393</v>
      </c>
      <c r="C12" s="226">
        <v>594</v>
      </c>
      <c r="D12" s="353">
        <v>13136</v>
      </c>
      <c r="E12" s="838">
        <v>237</v>
      </c>
      <c r="F12" s="242">
        <f t="shared" ref="F12:F23" si="0">D12*E12</f>
        <v>3113232</v>
      </c>
      <c r="G12" s="69">
        <v>594</v>
      </c>
      <c r="H12" s="92">
        <v>2713588</v>
      </c>
      <c r="I12" s="249">
        <v>226</v>
      </c>
      <c r="J12" s="749">
        <v>12007</v>
      </c>
      <c r="K12" s="16">
        <v>13179</v>
      </c>
      <c r="L12" s="16"/>
      <c r="M12" s="854">
        <f t="shared" ref="M12:M24" si="1">J12/K12*100</f>
        <v>91.107064268912666</v>
      </c>
      <c r="N12" s="16"/>
      <c r="O12" s="16"/>
      <c r="P12" s="16"/>
      <c r="Q12" s="16"/>
      <c r="R12" s="16"/>
      <c r="S12" s="16"/>
      <c r="T12" s="16"/>
      <c r="U12" s="16"/>
      <c r="V12" s="16"/>
      <c r="W12" s="16"/>
    </row>
    <row r="13" spans="1:23" ht="24.95" customHeight="1" x14ac:dyDescent="0.2">
      <c r="A13" s="194">
        <v>3</v>
      </c>
      <c r="B13" s="225" t="s">
        <v>394</v>
      </c>
      <c r="C13" s="226">
        <v>979</v>
      </c>
      <c r="D13" s="353">
        <v>20467</v>
      </c>
      <c r="E13" s="838">
        <v>237</v>
      </c>
      <c r="F13" s="242">
        <f t="shared" si="0"/>
        <v>4850679</v>
      </c>
      <c r="G13" s="69">
        <v>979</v>
      </c>
      <c r="H13" s="92">
        <v>4462894</v>
      </c>
      <c r="I13" s="249">
        <v>228</v>
      </c>
      <c r="J13" s="749">
        <v>19574</v>
      </c>
      <c r="K13" s="16">
        <v>21077</v>
      </c>
      <c r="L13" s="16"/>
      <c r="M13" s="854">
        <f t="shared" si="1"/>
        <v>92.869004127722164</v>
      </c>
      <c r="N13" s="16"/>
      <c r="O13" s="16"/>
      <c r="P13" s="16"/>
      <c r="Q13" s="16"/>
      <c r="R13" s="16"/>
      <c r="S13" s="16"/>
      <c r="T13" s="16"/>
      <c r="U13" s="16"/>
      <c r="V13" s="16"/>
      <c r="W13" s="16"/>
    </row>
    <row r="14" spans="1:23" ht="24.95" customHeight="1" x14ac:dyDescent="0.2">
      <c r="A14" s="194">
        <v>4</v>
      </c>
      <c r="B14" s="225" t="s">
        <v>395</v>
      </c>
      <c r="C14" s="226">
        <v>512</v>
      </c>
      <c r="D14" s="353">
        <v>12529</v>
      </c>
      <c r="E14" s="838">
        <v>237</v>
      </c>
      <c r="F14" s="242">
        <f t="shared" si="0"/>
        <v>2969373</v>
      </c>
      <c r="G14" s="69">
        <v>512</v>
      </c>
      <c r="H14" s="92">
        <v>2536960</v>
      </c>
      <c r="I14" s="249">
        <v>226</v>
      </c>
      <c r="J14" s="749">
        <v>11225</v>
      </c>
      <c r="K14" s="16">
        <v>13448</v>
      </c>
      <c r="L14" s="16"/>
      <c r="M14" s="854">
        <f t="shared" si="1"/>
        <v>83.469660916121356</v>
      </c>
      <c r="N14" s="16"/>
      <c r="O14" s="16"/>
      <c r="P14" s="16"/>
      <c r="Q14" s="16"/>
      <c r="R14" s="16"/>
      <c r="S14" s="16"/>
      <c r="T14" s="16"/>
      <c r="U14" s="16"/>
      <c r="V14" s="16"/>
      <c r="W14" s="16"/>
    </row>
    <row r="15" spans="1:23" ht="24.95" customHeight="1" x14ac:dyDescent="0.2">
      <c r="A15" s="194">
        <v>5</v>
      </c>
      <c r="B15" s="227" t="s">
        <v>396</v>
      </c>
      <c r="C15" s="226">
        <v>968</v>
      </c>
      <c r="D15" s="353">
        <v>37649</v>
      </c>
      <c r="E15" s="838">
        <v>237</v>
      </c>
      <c r="F15" s="242">
        <f t="shared" si="0"/>
        <v>8922813</v>
      </c>
      <c r="G15" s="69">
        <v>969</v>
      </c>
      <c r="H15" s="92">
        <v>7954165</v>
      </c>
      <c r="I15" s="249">
        <v>225</v>
      </c>
      <c r="J15" s="749">
        <v>35352</v>
      </c>
      <c r="K15" s="16">
        <v>44120</v>
      </c>
      <c r="L15" s="16"/>
      <c r="M15" s="854">
        <f t="shared" si="1"/>
        <v>80.126926563916584</v>
      </c>
      <c r="N15" s="16"/>
      <c r="O15" s="16"/>
      <c r="P15" s="16"/>
      <c r="Q15" s="16"/>
      <c r="R15" s="16"/>
      <c r="S15" s="16"/>
      <c r="T15" s="16"/>
      <c r="U15" s="16"/>
      <c r="V15" s="16"/>
      <c r="W15" s="16"/>
    </row>
    <row r="16" spans="1:23" ht="24.95" customHeight="1" x14ac:dyDescent="0.2">
      <c r="A16" s="194">
        <v>6</v>
      </c>
      <c r="B16" s="225" t="s">
        <v>397</v>
      </c>
      <c r="C16" s="226">
        <v>760</v>
      </c>
      <c r="D16" s="353">
        <v>74462</v>
      </c>
      <c r="E16" s="838">
        <v>237</v>
      </c>
      <c r="F16" s="242">
        <f t="shared" si="0"/>
        <v>17647494</v>
      </c>
      <c r="G16" s="69">
        <v>759</v>
      </c>
      <c r="H16" s="92">
        <v>14365803</v>
      </c>
      <c r="I16" s="249">
        <v>216</v>
      </c>
      <c r="J16" s="749">
        <v>66508</v>
      </c>
      <c r="K16" s="16">
        <v>100590</v>
      </c>
      <c r="L16" s="16"/>
      <c r="M16" s="854">
        <f t="shared" si="1"/>
        <v>66.117904364250919</v>
      </c>
      <c r="N16" s="16"/>
      <c r="O16" s="16"/>
      <c r="P16" s="16"/>
      <c r="Q16" s="16"/>
      <c r="R16" s="16"/>
      <c r="S16" s="16"/>
      <c r="T16" s="16"/>
      <c r="U16" s="16"/>
      <c r="V16" s="16"/>
      <c r="W16" s="16"/>
    </row>
    <row r="17" spans="1:23" ht="24.95" customHeight="1" x14ac:dyDescent="0.2">
      <c r="A17" s="194">
        <v>7</v>
      </c>
      <c r="B17" s="227" t="s">
        <v>398</v>
      </c>
      <c r="C17" s="226">
        <v>977</v>
      </c>
      <c r="D17" s="353">
        <v>32463</v>
      </c>
      <c r="E17" s="838">
        <v>237</v>
      </c>
      <c r="F17" s="242">
        <f t="shared" si="0"/>
        <v>7693731</v>
      </c>
      <c r="G17" s="69">
        <v>974</v>
      </c>
      <c r="H17" s="92">
        <v>7325945</v>
      </c>
      <c r="I17" s="249">
        <v>227</v>
      </c>
      <c r="J17" s="749">
        <v>32273</v>
      </c>
      <c r="K17" s="16">
        <v>35131</v>
      </c>
      <c r="L17" s="16"/>
      <c r="M17" s="854">
        <f t="shared" si="1"/>
        <v>91.864734849563064</v>
      </c>
      <c r="N17" s="16"/>
      <c r="O17" s="16"/>
      <c r="P17" s="16"/>
      <c r="Q17" s="16"/>
      <c r="R17" s="16"/>
      <c r="S17" s="16"/>
      <c r="T17" s="16"/>
      <c r="U17" s="16"/>
      <c r="V17" s="16"/>
      <c r="W17" s="16"/>
    </row>
    <row r="18" spans="1:23" ht="24.95" customHeight="1" x14ac:dyDescent="0.2">
      <c r="A18" s="194">
        <v>8</v>
      </c>
      <c r="B18" s="225" t="s">
        <v>399</v>
      </c>
      <c r="C18" s="226">
        <v>1572</v>
      </c>
      <c r="D18" s="353">
        <v>26108</v>
      </c>
      <c r="E18" s="838">
        <v>237</v>
      </c>
      <c r="F18" s="242">
        <f t="shared" si="0"/>
        <v>6187596</v>
      </c>
      <c r="G18" s="69">
        <v>1555</v>
      </c>
      <c r="H18" s="92">
        <v>5454246</v>
      </c>
      <c r="I18" s="249">
        <v>230</v>
      </c>
      <c r="J18" s="749">
        <v>23714</v>
      </c>
      <c r="K18" s="16">
        <v>25852</v>
      </c>
      <c r="L18" s="16"/>
      <c r="M18" s="854">
        <f t="shared" si="1"/>
        <v>91.729846820362056</v>
      </c>
      <c r="N18" s="16"/>
      <c r="O18" s="16"/>
      <c r="P18" s="16"/>
      <c r="Q18" s="16"/>
      <c r="R18" s="16"/>
      <c r="S18" s="16"/>
      <c r="T18" s="16"/>
      <c r="U18" s="16"/>
      <c r="V18" s="16"/>
      <c r="W18" s="16"/>
    </row>
    <row r="19" spans="1:23" ht="24.95" customHeight="1" x14ac:dyDescent="0.2">
      <c r="A19" s="194">
        <v>9</v>
      </c>
      <c r="B19" s="225" t="s">
        <v>400</v>
      </c>
      <c r="C19" s="226">
        <v>1138</v>
      </c>
      <c r="D19" s="353">
        <v>19530</v>
      </c>
      <c r="E19" s="838">
        <v>237</v>
      </c>
      <c r="F19" s="242">
        <f t="shared" si="0"/>
        <v>4628610</v>
      </c>
      <c r="G19" s="69">
        <v>1112</v>
      </c>
      <c r="H19" s="92">
        <v>4197403</v>
      </c>
      <c r="I19" s="249">
        <v>236</v>
      </c>
      <c r="J19" s="749">
        <v>17786</v>
      </c>
      <c r="K19" s="16">
        <v>20227</v>
      </c>
      <c r="L19" s="16"/>
      <c r="M19" s="854">
        <f t="shared" si="1"/>
        <v>87.931972116477979</v>
      </c>
      <c r="N19" s="16"/>
      <c r="O19" s="16"/>
      <c r="P19" s="16"/>
      <c r="Q19" s="16"/>
      <c r="R19" s="16"/>
      <c r="S19" s="16"/>
      <c r="T19" s="16"/>
      <c r="U19" s="16"/>
      <c r="V19" s="16"/>
      <c r="W19" s="16"/>
    </row>
    <row r="20" spans="1:23" ht="24.95" customHeight="1" x14ac:dyDescent="0.2">
      <c r="A20" s="194">
        <v>10</v>
      </c>
      <c r="B20" s="225" t="s">
        <v>401</v>
      </c>
      <c r="C20" s="226">
        <v>555</v>
      </c>
      <c r="D20" s="353">
        <v>13090</v>
      </c>
      <c r="E20" s="838">
        <v>237</v>
      </c>
      <c r="F20" s="242">
        <f t="shared" si="0"/>
        <v>3102330</v>
      </c>
      <c r="G20" s="69">
        <v>550</v>
      </c>
      <c r="H20" s="92">
        <v>2842192</v>
      </c>
      <c r="I20" s="249">
        <v>236</v>
      </c>
      <c r="J20" s="749">
        <v>12043</v>
      </c>
      <c r="K20" s="16">
        <v>12851</v>
      </c>
      <c r="L20" s="16"/>
      <c r="M20" s="854">
        <f t="shared" si="1"/>
        <v>93.712551552408371</v>
      </c>
      <c r="N20" s="16"/>
      <c r="O20" s="16"/>
      <c r="P20" s="16"/>
      <c r="Q20" s="16"/>
      <c r="R20" s="16"/>
      <c r="S20" s="16"/>
      <c r="T20" s="16"/>
      <c r="U20" s="16"/>
      <c r="V20" s="16"/>
      <c r="W20" s="16"/>
    </row>
    <row r="21" spans="1:23" ht="24.95" customHeight="1" x14ac:dyDescent="0.2">
      <c r="A21" s="194">
        <v>11</v>
      </c>
      <c r="B21" s="225" t="s">
        <v>402</v>
      </c>
      <c r="C21" s="226">
        <v>1410</v>
      </c>
      <c r="D21" s="353">
        <v>31715</v>
      </c>
      <c r="E21" s="838">
        <v>237</v>
      </c>
      <c r="F21" s="242">
        <f t="shared" si="0"/>
        <v>7516455</v>
      </c>
      <c r="G21" s="69">
        <v>1394</v>
      </c>
      <c r="H21" s="92">
        <v>6432909</v>
      </c>
      <c r="I21" s="249">
        <v>228</v>
      </c>
      <c r="J21" s="749">
        <v>28215</v>
      </c>
      <c r="K21" s="16">
        <v>30964</v>
      </c>
      <c r="L21" s="16"/>
      <c r="M21" s="854">
        <f t="shared" si="1"/>
        <v>91.121948068724961</v>
      </c>
      <c r="N21" s="16"/>
      <c r="O21" s="16"/>
      <c r="P21" s="16"/>
      <c r="Q21" s="16"/>
      <c r="R21" s="16"/>
      <c r="S21" s="16"/>
      <c r="T21" s="16"/>
      <c r="U21" s="16"/>
      <c r="V21" s="16"/>
      <c r="W21" s="16"/>
    </row>
    <row r="22" spans="1:23" ht="24.95" customHeight="1" x14ac:dyDescent="0.2">
      <c r="A22" s="194">
        <v>12</v>
      </c>
      <c r="B22" s="225" t="s">
        <v>403</v>
      </c>
      <c r="C22" s="226">
        <v>822</v>
      </c>
      <c r="D22" s="353">
        <v>62125</v>
      </c>
      <c r="E22" s="838">
        <v>237</v>
      </c>
      <c r="F22" s="242">
        <f t="shared" si="0"/>
        <v>14723625</v>
      </c>
      <c r="G22" s="69">
        <v>850</v>
      </c>
      <c r="H22" s="92">
        <v>12884932</v>
      </c>
      <c r="I22" s="249">
        <v>227</v>
      </c>
      <c r="J22" s="749">
        <v>56762</v>
      </c>
      <c r="K22" s="16">
        <v>76317</v>
      </c>
      <c r="L22" s="16"/>
      <c r="M22" s="854">
        <f t="shared" si="1"/>
        <v>74.376613336478115</v>
      </c>
      <c r="N22" s="16"/>
      <c r="O22" s="16"/>
      <c r="P22" s="16"/>
      <c r="Q22" s="16"/>
      <c r="R22" s="16"/>
      <c r="S22" s="16"/>
      <c r="T22" s="16"/>
      <c r="U22" s="16"/>
      <c r="V22" s="16"/>
      <c r="W22" s="16"/>
    </row>
    <row r="23" spans="1:23" ht="24.95" customHeight="1" x14ac:dyDescent="0.2">
      <c r="A23" s="194">
        <v>13</v>
      </c>
      <c r="B23" s="225" t="s">
        <v>404</v>
      </c>
      <c r="C23" s="226">
        <v>744</v>
      </c>
      <c r="D23" s="353">
        <v>18696</v>
      </c>
      <c r="E23" s="838">
        <v>237</v>
      </c>
      <c r="F23" s="242">
        <f t="shared" si="0"/>
        <v>4430952</v>
      </c>
      <c r="G23" s="69">
        <v>737</v>
      </c>
      <c r="H23" s="92">
        <v>3887720</v>
      </c>
      <c r="I23" s="249">
        <v>227</v>
      </c>
      <c r="J23" s="749">
        <v>17127</v>
      </c>
      <c r="K23" s="16">
        <v>18718</v>
      </c>
      <c r="L23" s="16"/>
      <c r="M23" s="854">
        <f t="shared" si="1"/>
        <v>91.500160273533496</v>
      </c>
      <c r="N23" s="16"/>
      <c r="O23" s="16"/>
      <c r="P23" s="16"/>
      <c r="Q23" s="16"/>
      <c r="R23" s="16"/>
      <c r="S23" s="16"/>
      <c r="T23" s="16"/>
      <c r="U23" s="16"/>
      <c r="V23" s="16"/>
      <c r="W23" s="16"/>
    </row>
    <row r="24" spans="1:23" s="11" customFormat="1" ht="20.100000000000001" customHeight="1" x14ac:dyDescent="0.2">
      <c r="A24" s="194" t="s">
        <v>18</v>
      </c>
      <c r="B24" s="194"/>
      <c r="C24" s="194">
        <f>SUM(C11:C23)</f>
        <v>12438</v>
      </c>
      <c r="D24" s="210">
        <f>SUM(D11:D23)</f>
        <v>387654</v>
      </c>
      <c r="E24" s="194">
        <f>AVERAGE(E11:E23)</f>
        <v>237</v>
      </c>
      <c r="F24" s="194">
        <f>SUM(F11:F23)</f>
        <v>91873998</v>
      </c>
      <c r="G24" s="194">
        <f>SUM(G11:G23)</f>
        <v>12356</v>
      </c>
      <c r="H24" s="194">
        <f>SUM(H11:H23)</f>
        <v>80381602</v>
      </c>
      <c r="I24" s="250">
        <f>AVERAGE(I11:I23)</f>
        <v>227.53846153846155</v>
      </c>
      <c r="J24" s="750">
        <f>SUM(J11:J23)</f>
        <v>356138</v>
      </c>
      <c r="K24" s="873">
        <f>SUM(K11:K23)</f>
        <v>437871</v>
      </c>
      <c r="L24" s="16"/>
      <c r="M24" s="854">
        <f t="shared" si="1"/>
        <v>81.334000196404872</v>
      </c>
      <c r="N24" s="16"/>
      <c r="O24" s="16"/>
      <c r="P24" s="16"/>
      <c r="Q24" s="16"/>
      <c r="R24" s="20"/>
      <c r="S24" s="20"/>
      <c r="T24" s="20"/>
      <c r="U24" s="20"/>
      <c r="V24" s="20"/>
      <c r="W24" s="20"/>
    </row>
    <row r="25" spans="1:23" x14ac:dyDescent="0.2">
      <c r="A25" s="8"/>
      <c r="B25" s="20"/>
      <c r="C25" s="20"/>
      <c r="D25" s="16"/>
      <c r="E25" s="16"/>
      <c r="F25" s="16"/>
      <c r="G25" s="16"/>
      <c r="H25" s="16"/>
      <c r="K25" s="16"/>
      <c r="L25" s="16"/>
      <c r="M25" s="16"/>
      <c r="N25" s="16"/>
      <c r="O25" s="16"/>
      <c r="P25" s="16"/>
      <c r="Q25" s="16"/>
      <c r="R25" s="16"/>
      <c r="S25" s="16"/>
      <c r="T25" s="16"/>
      <c r="U25" s="16"/>
      <c r="V25" s="16"/>
      <c r="W25" s="16"/>
    </row>
    <row r="26" spans="1:23" x14ac:dyDescent="0.2">
      <c r="A26" s="8"/>
      <c r="B26" s="20"/>
      <c r="C26" s="20"/>
      <c r="D26" s="16"/>
      <c r="E26" s="16"/>
      <c r="F26" s="16"/>
      <c r="G26" s="16"/>
      <c r="H26" s="16"/>
      <c r="I26" s="923">
        <f>I24/E24</f>
        <v>0.96007789678675759</v>
      </c>
      <c r="J26" s="923">
        <f>J24/'enrolment vs opted_PY'!G23</f>
        <v>0.81334000196404876</v>
      </c>
      <c r="L26" s="16"/>
      <c r="M26" s="16"/>
      <c r="N26" s="16"/>
    </row>
    <row r="27" spans="1:23" x14ac:dyDescent="0.2">
      <c r="A27" s="8"/>
      <c r="B27" s="20"/>
      <c r="C27" s="20"/>
      <c r="D27" s="16"/>
      <c r="E27" s="16"/>
      <c r="F27" s="16"/>
      <c r="G27" s="16"/>
      <c r="H27" s="16"/>
      <c r="I27" s="16"/>
      <c r="J27" s="16"/>
      <c r="K27" s="842">
        <f>H24/K24</f>
        <v>183.5737054977379</v>
      </c>
      <c r="L27" s="16"/>
      <c r="M27" s="16"/>
      <c r="N27" s="16"/>
    </row>
    <row r="28" spans="1:23" ht="15.75" customHeight="1" x14ac:dyDescent="0.2">
      <c r="A28" s="11" t="s">
        <v>11</v>
      </c>
      <c r="B28" s="11"/>
      <c r="C28" s="11"/>
      <c r="D28" s="11"/>
      <c r="E28" s="11"/>
      <c r="F28" s="11"/>
      <c r="G28" s="11"/>
      <c r="I28" s="1010" t="s">
        <v>12</v>
      </c>
      <c r="J28" s="1010"/>
      <c r="L28" s="662"/>
      <c r="M28" s="854">
        <f>351995-K24</f>
        <v>-85876</v>
      </c>
      <c r="N28" s="16"/>
    </row>
    <row r="29" spans="1:23" ht="12.75" customHeight="1" x14ac:dyDescent="0.2">
      <c r="A29" s="1086" t="s">
        <v>13</v>
      </c>
      <c r="B29" s="1086"/>
      <c r="C29" s="1086"/>
      <c r="D29" s="1086"/>
      <c r="E29" s="1086"/>
      <c r="F29" s="1086"/>
      <c r="G29" s="1086"/>
      <c r="H29" s="1086"/>
      <c r="I29" s="1086"/>
      <c r="J29" s="1086"/>
      <c r="L29" s="662"/>
      <c r="M29" s="854"/>
      <c r="N29" s="16"/>
    </row>
    <row r="30" spans="1:23" ht="12.75" customHeight="1" x14ac:dyDescent="0.2">
      <c r="A30" s="1086" t="s">
        <v>19</v>
      </c>
      <c r="B30" s="1086"/>
      <c r="C30" s="1086"/>
      <c r="D30" s="1086"/>
      <c r="E30" s="1086"/>
      <c r="F30" s="1086"/>
      <c r="G30" s="1086"/>
      <c r="H30" s="1086"/>
      <c r="I30" s="1086"/>
      <c r="J30" s="1086"/>
      <c r="K30" s="12">
        <v>351995</v>
      </c>
      <c r="L30" s="662"/>
      <c r="M30" s="16"/>
      <c r="N30" s="16"/>
    </row>
    <row r="31" spans="1:23" x14ac:dyDescent="0.2">
      <c r="A31" s="11"/>
      <c r="B31" s="11"/>
      <c r="C31" s="11"/>
      <c r="E31" s="11"/>
      <c r="H31" s="1000" t="s">
        <v>85</v>
      </c>
      <c r="I31" s="1000"/>
      <c r="J31" s="1000"/>
    </row>
    <row r="32" spans="1:23" x14ac:dyDescent="0.2">
      <c r="L32" s="12">
        <f>H24/K30</f>
        <v>228.3600676145968</v>
      </c>
    </row>
    <row r="35" spans="1:10" x14ac:dyDescent="0.2">
      <c r="A35" s="1099"/>
      <c r="B35" s="1099"/>
      <c r="C35" s="1099"/>
      <c r="D35" s="1099"/>
      <c r="E35" s="1099"/>
      <c r="F35" s="1099"/>
      <c r="G35" s="1099"/>
      <c r="H35" s="1099"/>
      <c r="I35" s="1099"/>
      <c r="J35" s="1099"/>
    </row>
    <row r="37" spans="1:10" x14ac:dyDescent="0.2">
      <c r="A37" s="1099"/>
      <c r="B37" s="1099"/>
      <c r="C37" s="1099"/>
      <c r="D37" s="1099"/>
      <c r="E37" s="1099"/>
      <c r="F37" s="1099"/>
      <c r="G37" s="1099"/>
      <c r="H37" s="1099"/>
      <c r="I37" s="1099"/>
      <c r="J37" s="1099"/>
    </row>
  </sheetData>
  <mergeCells count="16">
    <mergeCell ref="I28:J28"/>
    <mergeCell ref="H31:J31"/>
    <mergeCell ref="A37:J37"/>
    <mergeCell ref="A35:J35"/>
    <mergeCell ref="A29:J29"/>
    <mergeCell ref="A30:J30"/>
    <mergeCell ref="E1:I1"/>
    <mergeCell ref="A2:J2"/>
    <mergeCell ref="A3:J3"/>
    <mergeCell ref="G8:J8"/>
    <mergeCell ref="C8:F8"/>
    <mergeCell ref="A4:J4"/>
    <mergeCell ref="A8:A9"/>
    <mergeCell ref="B8:B9"/>
    <mergeCell ref="H7:I7"/>
    <mergeCell ref="A7:C7"/>
  </mergeCells>
  <phoneticPr fontId="0" type="noConversion"/>
  <printOptions horizontalCentered="1"/>
  <pageMargins left="0.70866141732283472" right="0.70866141732283472" top="0.23622047244094491" bottom="0" header="0.31496062992125984" footer="0.31496062992125984"/>
  <pageSetup paperSize="9" scale="9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pageSetUpPr fitToPage="1"/>
  </sheetPr>
  <dimension ref="A1:W38"/>
  <sheetViews>
    <sheetView view="pageBreakPreview" topLeftCell="B14" zoomScaleSheetLayoutView="100" workbookViewId="0">
      <selection activeCell="J27" sqref="J27"/>
    </sheetView>
  </sheetViews>
  <sheetFormatPr defaultRowHeight="12.75" x14ac:dyDescent="0.2"/>
  <cols>
    <col min="1" max="1" width="7.42578125" style="12" customWidth="1"/>
    <col min="2" max="2" width="13.5703125" style="12" customWidth="1"/>
    <col min="3" max="3" width="13" style="12" customWidth="1"/>
    <col min="4" max="4" width="12.42578125" style="12" customWidth="1"/>
    <col min="5" max="5" width="13.42578125" style="12" customWidth="1"/>
    <col min="6" max="6" width="16.140625" style="12" customWidth="1"/>
    <col min="7" max="7" width="11.5703125" style="12" customWidth="1"/>
    <col min="8" max="8" width="13.85546875" style="12" customWidth="1"/>
    <col min="9" max="9" width="15.140625" style="12" customWidth="1"/>
    <col min="10" max="10" width="25" style="12" customWidth="1"/>
    <col min="11" max="12" width="15.42578125" style="842" customWidth="1"/>
    <col min="13" max="13" width="9" style="12" customWidth="1"/>
    <col min="14" max="14" width="10.5703125" style="12" bestFit="1" customWidth="1"/>
    <col min="15" max="16384" width="9.140625" style="12"/>
  </cols>
  <sheetData>
    <row r="1" spans="1:23" customFormat="1" x14ac:dyDescent="0.2">
      <c r="E1" s="985"/>
      <c r="F1" s="985"/>
      <c r="G1" s="985"/>
      <c r="H1" s="985"/>
      <c r="I1" s="985"/>
      <c r="J1" s="1101" t="s">
        <v>92</v>
      </c>
      <c r="K1" s="1101"/>
      <c r="L1" s="1101"/>
      <c r="M1" s="1101"/>
      <c r="N1" s="1101"/>
    </row>
    <row r="2" spans="1:23" customFormat="1" ht="15" x14ac:dyDescent="0.2">
      <c r="A2" s="1080" t="s">
        <v>0</v>
      </c>
      <c r="B2" s="1080"/>
      <c r="C2" s="1080"/>
      <c r="D2" s="1080"/>
      <c r="E2" s="1080"/>
      <c r="F2" s="1080"/>
      <c r="G2" s="1080"/>
      <c r="H2" s="1080"/>
      <c r="I2" s="1080"/>
      <c r="J2" s="1080"/>
      <c r="K2" s="840"/>
      <c r="L2" s="840"/>
    </row>
    <row r="3" spans="1:23" customFormat="1" ht="15.75" x14ac:dyDescent="0.25">
      <c r="A3" s="1056" t="s">
        <v>794</v>
      </c>
      <c r="B3" s="1056"/>
      <c r="C3" s="1056"/>
      <c r="D3" s="1056"/>
      <c r="E3" s="1056"/>
      <c r="F3" s="1056"/>
      <c r="G3" s="1056"/>
      <c r="H3" s="1056"/>
      <c r="I3" s="1056"/>
      <c r="J3" s="1056"/>
      <c r="K3" s="836"/>
      <c r="L3" s="836"/>
      <c r="M3" s="70"/>
      <c r="N3" s="70"/>
      <c r="O3" s="70"/>
      <c r="P3" s="70"/>
      <c r="Q3" s="70"/>
      <c r="R3" s="70"/>
      <c r="S3" s="70"/>
    </row>
    <row r="4" spans="1:23" customFormat="1" ht="10.5" customHeight="1" x14ac:dyDescent="0.2">
      <c r="K4" s="843"/>
      <c r="L4" s="843"/>
    </row>
    <row r="5" spans="1:23" ht="18.75" customHeight="1" x14ac:dyDescent="0.25">
      <c r="A5" s="1085" t="s">
        <v>815</v>
      </c>
      <c r="B5" s="1085"/>
      <c r="C5" s="1085"/>
      <c r="D5" s="1085"/>
      <c r="E5" s="1085"/>
      <c r="F5" s="1085"/>
      <c r="G5" s="1085"/>
      <c r="H5" s="1085"/>
      <c r="I5" s="1085"/>
      <c r="J5" s="1085"/>
      <c r="K5" s="841"/>
      <c r="L5" s="841"/>
    </row>
    <row r="6" spans="1:23" ht="13.5" customHeight="1" x14ac:dyDescent="0.2">
      <c r="A6" s="1"/>
      <c r="B6" s="1"/>
      <c r="C6" s="1"/>
      <c r="D6" s="1"/>
      <c r="E6" s="1"/>
      <c r="F6" s="1"/>
      <c r="G6" s="1"/>
      <c r="H6" s="1"/>
      <c r="I6" s="1"/>
      <c r="J6" s="1"/>
      <c r="K6" s="835"/>
      <c r="L6" s="835"/>
    </row>
    <row r="7" spans="1:23" ht="0.75" customHeight="1" x14ac:dyDescent="0.2"/>
    <row r="8" spans="1:23" x14ac:dyDescent="0.2">
      <c r="A8" s="1068" t="s">
        <v>463</v>
      </c>
      <c r="B8" s="1068"/>
      <c r="C8" s="1068"/>
      <c r="D8" s="468"/>
      <c r="E8" s="468"/>
      <c r="F8" s="468"/>
      <c r="G8" s="468"/>
      <c r="H8" s="468"/>
      <c r="I8" s="1058" t="s">
        <v>914</v>
      </c>
      <c r="J8" s="1058"/>
      <c r="K8" s="855"/>
      <c r="L8" s="855"/>
    </row>
    <row r="9" spans="1:23" ht="13.5" customHeight="1" x14ac:dyDescent="0.2">
      <c r="A9" s="1100" t="s">
        <v>2</v>
      </c>
      <c r="B9" s="1100" t="s">
        <v>3</v>
      </c>
      <c r="C9" s="1102" t="s">
        <v>666</v>
      </c>
      <c r="D9" s="1103"/>
      <c r="E9" s="1103"/>
      <c r="F9" s="1104"/>
      <c r="G9" s="1102" t="s">
        <v>109</v>
      </c>
      <c r="H9" s="1103"/>
      <c r="I9" s="1103"/>
      <c r="J9" s="1104"/>
      <c r="K9" s="837"/>
      <c r="L9" s="837"/>
      <c r="V9" s="14"/>
      <c r="W9" s="16"/>
    </row>
    <row r="10" spans="1:23" ht="51" x14ac:dyDescent="0.2">
      <c r="A10" s="1100"/>
      <c r="B10" s="1100"/>
      <c r="C10" s="4" t="s">
        <v>128</v>
      </c>
      <c r="D10" s="4" t="s">
        <v>16</v>
      </c>
      <c r="E10" s="5" t="s">
        <v>913</v>
      </c>
      <c r="F10" s="5" t="s">
        <v>218</v>
      </c>
      <c r="G10" s="4" t="s">
        <v>128</v>
      </c>
      <c r="H10" s="18" t="s">
        <v>17</v>
      </c>
      <c r="I10" s="68" t="s">
        <v>118</v>
      </c>
      <c r="J10" s="5" t="s">
        <v>219</v>
      </c>
      <c r="K10" s="75"/>
      <c r="L10" s="75"/>
      <c r="M10" s="16"/>
      <c r="N10" s="16"/>
      <c r="O10" s="16"/>
      <c r="P10" s="16"/>
      <c r="Q10" s="16"/>
      <c r="R10" s="16"/>
      <c r="S10" s="16"/>
    </row>
    <row r="11" spans="1:23" s="11" customFormat="1" x14ac:dyDescent="0.2">
      <c r="A11" s="4">
        <v>1</v>
      </c>
      <c r="B11" s="4">
        <v>2</v>
      </c>
      <c r="C11" s="4">
        <v>3</v>
      </c>
      <c r="D11" s="4">
        <v>4</v>
      </c>
      <c r="E11" s="4">
        <v>5</v>
      </c>
      <c r="F11" s="4">
        <v>6</v>
      </c>
      <c r="G11" s="4">
        <v>7</v>
      </c>
      <c r="H11" s="4">
        <v>8</v>
      </c>
      <c r="I11" s="4">
        <v>9</v>
      </c>
      <c r="J11" s="5">
        <v>10</v>
      </c>
      <c r="K11" s="75"/>
      <c r="L11" s="75"/>
      <c r="M11" s="16"/>
      <c r="N11" s="16"/>
      <c r="O11" s="16"/>
      <c r="P11" s="16"/>
      <c r="Q11" s="16"/>
      <c r="R11" s="16"/>
      <c r="S11" s="16"/>
      <c r="T11" s="773"/>
    </row>
    <row r="12" spans="1:23" ht="24.95" customHeight="1" x14ac:dyDescent="0.25">
      <c r="A12" s="2">
        <v>1</v>
      </c>
      <c r="B12" s="139" t="s">
        <v>392</v>
      </c>
      <c r="C12" s="218">
        <v>498</v>
      </c>
      <c r="D12" s="354">
        <v>23220</v>
      </c>
      <c r="E12" s="92">
        <v>237</v>
      </c>
      <c r="F12" s="242">
        <f>D12*E12</f>
        <v>5503140</v>
      </c>
      <c r="G12" s="92">
        <v>492</v>
      </c>
      <c r="H12" s="92">
        <v>4429836</v>
      </c>
      <c r="I12" s="261">
        <v>220</v>
      </c>
      <c r="J12" s="610">
        <v>20136</v>
      </c>
      <c r="K12" s="75">
        <v>23527</v>
      </c>
      <c r="L12" s="858">
        <f>J12/K12*100</f>
        <v>85.586772644196031</v>
      </c>
      <c r="M12" s="16"/>
      <c r="N12" s="16"/>
      <c r="O12" s="16"/>
      <c r="P12" s="16"/>
      <c r="Q12" s="16"/>
      <c r="R12" s="16"/>
      <c r="S12" s="16"/>
      <c r="T12" s="773"/>
    </row>
    <row r="13" spans="1:23" ht="24.95" customHeight="1" x14ac:dyDescent="0.25">
      <c r="A13" s="2">
        <v>2</v>
      </c>
      <c r="B13" s="139" t="s">
        <v>393</v>
      </c>
      <c r="C13" s="218">
        <v>225</v>
      </c>
      <c r="D13" s="354">
        <v>9969</v>
      </c>
      <c r="E13" s="838">
        <v>237</v>
      </c>
      <c r="F13" s="242">
        <f t="shared" ref="F13:F24" si="0">D13*E13</f>
        <v>2362653</v>
      </c>
      <c r="G13" s="92">
        <v>225</v>
      </c>
      <c r="H13" s="92">
        <v>2042218</v>
      </c>
      <c r="I13" s="261">
        <v>220</v>
      </c>
      <c r="J13" s="610">
        <v>9283</v>
      </c>
      <c r="K13" s="858">
        <v>10748</v>
      </c>
      <c r="L13" s="858">
        <f t="shared" ref="L13:L25" si="1">J13/K13*100</f>
        <v>86.369557126907338</v>
      </c>
      <c r="M13" s="16"/>
      <c r="N13" s="16"/>
      <c r="O13" s="16"/>
      <c r="P13" s="16"/>
      <c r="Q13" s="16"/>
      <c r="R13" s="16"/>
      <c r="S13" s="16"/>
      <c r="T13" s="773"/>
    </row>
    <row r="14" spans="1:23" ht="24.95" customHeight="1" x14ac:dyDescent="0.25">
      <c r="A14" s="2">
        <v>3</v>
      </c>
      <c r="B14" s="139" t="s">
        <v>394</v>
      </c>
      <c r="C14" s="218">
        <v>421</v>
      </c>
      <c r="D14" s="354">
        <v>15643</v>
      </c>
      <c r="E14" s="838">
        <v>237</v>
      </c>
      <c r="F14" s="242">
        <f t="shared" si="0"/>
        <v>3707391</v>
      </c>
      <c r="G14" s="92">
        <v>427</v>
      </c>
      <c r="H14" s="92">
        <v>3148223</v>
      </c>
      <c r="I14" s="261">
        <v>225</v>
      </c>
      <c r="J14" s="610">
        <v>13992</v>
      </c>
      <c r="K14" s="858">
        <v>15947</v>
      </c>
      <c r="L14" s="858">
        <f t="shared" si="1"/>
        <v>87.740640872891447</v>
      </c>
      <c r="M14" s="16"/>
      <c r="N14" s="16"/>
      <c r="O14" s="16"/>
      <c r="P14" s="16"/>
      <c r="Q14" s="16"/>
      <c r="R14" s="16"/>
      <c r="S14" s="16"/>
      <c r="T14" s="773"/>
    </row>
    <row r="15" spans="1:23" ht="24.95" customHeight="1" x14ac:dyDescent="0.25">
      <c r="A15" s="2">
        <v>4</v>
      </c>
      <c r="B15" s="139" t="s">
        <v>395</v>
      </c>
      <c r="C15" s="218">
        <v>202</v>
      </c>
      <c r="D15" s="354">
        <v>9674</v>
      </c>
      <c r="E15" s="838">
        <v>237</v>
      </c>
      <c r="F15" s="242">
        <f t="shared" si="0"/>
        <v>2292738</v>
      </c>
      <c r="G15" s="92">
        <v>202</v>
      </c>
      <c r="H15" s="92">
        <v>1943987</v>
      </c>
      <c r="I15" s="261">
        <v>220</v>
      </c>
      <c r="J15" s="610">
        <v>8836</v>
      </c>
      <c r="K15" s="858">
        <v>10973</v>
      </c>
      <c r="L15" s="858">
        <f t="shared" si="1"/>
        <v>80.524924815456117</v>
      </c>
      <c r="M15" s="16"/>
      <c r="N15" s="16"/>
      <c r="O15" s="16"/>
      <c r="P15" s="16"/>
      <c r="Q15" s="16"/>
      <c r="R15" s="16"/>
      <c r="S15" s="16"/>
      <c r="T15" s="773"/>
    </row>
    <row r="16" spans="1:23" ht="24.95" customHeight="1" x14ac:dyDescent="0.25">
      <c r="A16" s="2">
        <v>5</v>
      </c>
      <c r="B16" s="140" t="s">
        <v>396</v>
      </c>
      <c r="C16" s="218">
        <v>473</v>
      </c>
      <c r="D16" s="354">
        <v>27050</v>
      </c>
      <c r="E16" s="838">
        <v>237</v>
      </c>
      <c r="F16" s="242">
        <f t="shared" si="0"/>
        <v>6410850</v>
      </c>
      <c r="G16" s="92">
        <v>473</v>
      </c>
      <c r="H16" s="92">
        <v>5525984</v>
      </c>
      <c r="I16" s="261">
        <v>224</v>
      </c>
      <c r="J16" s="610">
        <v>24670</v>
      </c>
      <c r="K16" s="858">
        <v>32489</v>
      </c>
      <c r="L16" s="858">
        <f t="shared" si="1"/>
        <v>75.933392840653752</v>
      </c>
      <c r="M16" s="16"/>
      <c r="N16" s="16"/>
      <c r="O16" s="16"/>
      <c r="P16" s="16"/>
      <c r="Q16" s="16"/>
      <c r="R16" s="16"/>
      <c r="S16" s="16"/>
      <c r="T16" s="773"/>
    </row>
    <row r="17" spans="1:20" ht="24.95" customHeight="1" x14ac:dyDescent="0.25">
      <c r="A17" s="2">
        <v>6</v>
      </c>
      <c r="B17" s="139" t="s">
        <v>397</v>
      </c>
      <c r="C17" s="218">
        <v>326</v>
      </c>
      <c r="D17" s="354">
        <v>34865</v>
      </c>
      <c r="E17" s="838">
        <v>237</v>
      </c>
      <c r="F17" s="242">
        <f t="shared" si="0"/>
        <v>8263005</v>
      </c>
      <c r="G17" s="92">
        <v>327</v>
      </c>
      <c r="H17" s="92">
        <v>6903049</v>
      </c>
      <c r="I17" s="261">
        <v>215</v>
      </c>
      <c r="J17" s="610">
        <v>32107</v>
      </c>
      <c r="K17" s="858">
        <v>51285</v>
      </c>
      <c r="L17" s="858">
        <f t="shared" si="1"/>
        <v>62.605050209612948</v>
      </c>
      <c r="M17" s="16"/>
      <c r="N17" s="16"/>
      <c r="O17" s="16"/>
      <c r="P17" s="16"/>
      <c r="Q17" s="16"/>
      <c r="R17" s="16"/>
      <c r="S17" s="16"/>
      <c r="T17" s="773"/>
    </row>
    <row r="18" spans="1:20" ht="24.95" customHeight="1" x14ac:dyDescent="0.25">
      <c r="A18" s="2">
        <v>7</v>
      </c>
      <c r="B18" s="140" t="s">
        <v>398</v>
      </c>
      <c r="C18" s="218">
        <v>452</v>
      </c>
      <c r="D18" s="354">
        <v>24486</v>
      </c>
      <c r="E18" s="838">
        <v>237</v>
      </c>
      <c r="F18" s="242">
        <f t="shared" si="0"/>
        <v>5803182</v>
      </c>
      <c r="G18" s="92">
        <v>453</v>
      </c>
      <c r="H18" s="92">
        <v>5779139</v>
      </c>
      <c r="I18" s="261">
        <v>224</v>
      </c>
      <c r="J18" s="610">
        <v>25800</v>
      </c>
      <c r="K18" s="858">
        <v>29335</v>
      </c>
      <c r="L18" s="858">
        <f t="shared" si="1"/>
        <v>87.949548321118115</v>
      </c>
      <c r="M18" s="16"/>
      <c r="N18" s="16"/>
      <c r="O18" s="16"/>
      <c r="P18" s="16"/>
      <c r="Q18" s="16"/>
      <c r="R18" s="16"/>
      <c r="S18" s="16"/>
      <c r="T18" s="773"/>
    </row>
    <row r="19" spans="1:20" ht="24.95" customHeight="1" x14ac:dyDescent="0.25">
      <c r="A19" s="2">
        <v>8</v>
      </c>
      <c r="B19" s="139" t="s">
        <v>399</v>
      </c>
      <c r="C19" s="218">
        <v>668</v>
      </c>
      <c r="D19" s="354">
        <v>23400</v>
      </c>
      <c r="E19" s="838">
        <v>237</v>
      </c>
      <c r="F19" s="242">
        <f t="shared" si="0"/>
        <v>5545800</v>
      </c>
      <c r="G19" s="92">
        <v>669</v>
      </c>
      <c r="H19" s="92">
        <v>4646225</v>
      </c>
      <c r="I19" s="261">
        <v>226</v>
      </c>
      <c r="J19" s="610">
        <v>20559</v>
      </c>
      <c r="K19" s="858">
        <v>23377</v>
      </c>
      <c r="L19" s="858">
        <f t="shared" si="1"/>
        <v>87.945416434957437</v>
      </c>
      <c r="M19" s="16"/>
      <c r="N19" s="16"/>
      <c r="O19" s="16"/>
      <c r="P19" s="16"/>
      <c r="Q19" s="16"/>
      <c r="R19" s="16"/>
      <c r="S19" s="16"/>
      <c r="T19" s="773"/>
    </row>
    <row r="20" spans="1:20" ht="24.95" customHeight="1" x14ac:dyDescent="0.25">
      <c r="A20" s="2">
        <v>9</v>
      </c>
      <c r="B20" s="139" t="s">
        <v>400</v>
      </c>
      <c r="C20" s="218">
        <v>449</v>
      </c>
      <c r="D20" s="354">
        <v>15656</v>
      </c>
      <c r="E20" s="838">
        <v>237</v>
      </c>
      <c r="F20" s="242">
        <f t="shared" si="0"/>
        <v>3710472</v>
      </c>
      <c r="G20" s="92">
        <v>447</v>
      </c>
      <c r="H20" s="92">
        <v>3189180</v>
      </c>
      <c r="I20" s="261">
        <v>224</v>
      </c>
      <c r="J20" s="610">
        <v>14237</v>
      </c>
      <c r="K20" s="858">
        <v>16306</v>
      </c>
      <c r="L20" s="858">
        <f t="shared" si="1"/>
        <v>87.311419109530235</v>
      </c>
      <c r="M20" s="16"/>
      <c r="N20" s="16"/>
      <c r="O20" s="16"/>
      <c r="P20" s="16"/>
      <c r="Q20" s="16"/>
      <c r="R20" s="16"/>
      <c r="S20" s="16"/>
      <c r="T20" s="773"/>
    </row>
    <row r="21" spans="1:20" ht="24.95" customHeight="1" x14ac:dyDescent="0.25">
      <c r="A21" s="2">
        <v>10</v>
      </c>
      <c r="B21" s="139" t="s">
        <v>401</v>
      </c>
      <c r="C21" s="218">
        <v>251</v>
      </c>
      <c r="D21" s="354">
        <v>10684</v>
      </c>
      <c r="E21" s="838">
        <v>237</v>
      </c>
      <c r="F21" s="242">
        <f t="shared" si="0"/>
        <v>2532108</v>
      </c>
      <c r="G21" s="92">
        <v>264</v>
      </c>
      <c r="H21" s="92">
        <v>2444431</v>
      </c>
      <c r="I21" s="261">
        <v>233</v>
      </c>
      <c r="J21" s="610">
        <v>10491</v>
      </c>
      <c r="K21" s="858">
        <v>11560</v>
      </c>
      <c r="L21" s="858">
        <f t="shared" si="1"/>
        <v>90.752595155709344</v>
      </c>
      <c r="M21" s="16"/>
      <c r="N21" s="16"/>
      <c r="O21" s="16"/>
      <c r="P21" s="16"/>
      <c r="Q21" s="16"/>
      <c r="R21" s="16"/>
      <c r="S21" s="16"/>
      <c r="T21" s="773"/>
    </row>
    <row r="22" spans="1:20" ht="24.95" customHeight="1" x14ac:dyDescent="0.25">
      <c r="A22" s="2">
        <v>11</v>
      </c>
      <c r="B22" s="139" t="s">
        <v>402</v>
      </c>
      <c r="C22" s="218">
        <v>597</v>
      </c>
      <c r="D22" s="354">
        <v>25455</v>
      </c>
      <c r="E22" s="838">
        <v>237</v>
      </c>
      <c r="F22" s="242">
        <f t="shared" si="0"/>
        <v>6032835</v>
      </c>
      <c r="G22" s="92">
        <v>594</v>
      </c>
      <c r="H22" s="92">
        <v>5230459</v>
      </c>
      <c r="I22" s="261">
        <v>225</v>
      </c>
      <c r="J22" s="610">
        <v>23246</v>
      </c>
      <c r="K22" s="858">
        <v>26857</v>
      </c>
      <c r="L22" s="858">
        <f t="shared" si="1"/>
        <v>86.554715716572957</v>
      </c>
      <c r="M22" s="16"/>
      <c r="N22" s="16"/>
      <c r="O22" s="16"/>
      <c r="P22" s="16"/>
      <c r="Q22" s="16"/>
      <c r="R22" s="16"/>
      <c r="S22" s="16"/>
      <c r="T22" s="773"/>
    </row>
    <row r="23" spans="1:20" ht="24.95" customHeight="1" x14ac:dyDescent="0.25">
      <c r="A23" s="2">
        <v>12</v>
      </c>
      <c r="B23" s="139" t="s">
        <v>403</v>
      </c>
      <c r="C23" s="218">
        <v>402</v>
      </c>
      <c r="D23" s="354">
        <v>37831</v>
      </c>
      <c r="E23" s="838">
        <v>237</v>
      </c>
      <c r="F23" s="242">
        <f t="shared" si="0"/>
        <v>8965947</v>
      </c>
      <c r="G23" s="92">
        <v>400</v>
      </c>
      <c r="H23" s="92">
        <v>7644280</v>
      </c>
      <c r="I23" s="261">
        <v>224</v>
      </c>
      <c r="J23" s="610">
        <v>34126</v>
      </c>
      <c r="K23" s="858">
        <v>46582</v>
      </c>
      <c r="L23" s="858">
        <f t="shared" si="1"/>
        <v>73.260057532952644</v>
      </c>
      <c r="M23" s="16"/>
      <c r="N23" s="16"/>
      <c r="O23" s="16"/>
      <c r="P23" s="16"/>
      <c r="Q23" s="16"/>
      <c r="R23" s="16"/>
      <c r="S23" s="16"/>
      <c r="T23" s="773"/>
    </row>
    <row r="24" spans="1:20" ht="24.95" customHeight="1" x14ac:dyDescent="0.25">
      <c r="A24" s="2">
        <v>13</v>
      </c>
      <c r="B24" s="139" t="s">
        <v>404</v>
      </c>
      <c r="C24" s="218">
        <v>328</v>
      </c>
      <c r="D24" s="354">
        <v>11736</v>
      </c>
      <c r="E24" s="838">
        <v>237</v>
      </c>
      <c r="F24" s="242">
        <f t="shared" si="0"/>
        <v>2781432</v>
      </c>
      <c r="G24" s="92">
        <v>329</v>
      </c>
      <c r="H24" s="92">
        <v>2561338</v>
      </c>
      <c r="I24" s="261">
        <v>226</v>
      </c>
      <c r="J24" s="610">
        <v>11333</v>
      </c>
      <c r="K24" s="858">
        <v>12739</v>
      </c>
      <c r="L24" s="858">
        <f t="shared" si="1"/>
        <v>88.963026925190363</v>
      </c>
      <c r="M24" s="16"/>
      <c r="N24" s="16"/>
      <c r="O24" s="16"/>
      <c r="P24" s="16"/>
      <c r="Q24" s="16"/>
      <c r="R24" s="16"/>
      <c r="S24" s="16"/>
      <c r="T24" s="773"/>
    </row>
    <row r="25" spans="1:20" s="11" customFormat="1" ht="20.100000000000001" customHeight="1" x14ac:dyDescent="0.2">
      <c r="A25" s="2" t="s">
        <v>18</v>
      </c>
      <c r="B25" s="19"/>
      <c r="C25" s="194">
        <f>SUM(C12:C24)</f>
        <v>5292</v>
      </c>
      <c r="D25" s="194">
        <f>SUM(D12:D24)</f>
        <v>269669</v>
      </c>
      <c r="E25" s="194">
        <f>AVERAGE(E12:E24)</f>
        <v>237</v>
      </c>
      <c r="F25" s="194">
        <f>SUM(F12:F24)</f>
        <v>63911553</v>
      </c>
      <c r="G25" s="194">
        <f>SUM(G12:G24)</f>
        <v>5302</v>
      </c>
      <c r="H25" s="194">
        <f>SUM(H12:H24)</f>
        <v>55488349</v>
      </c>
      <c r="I25" s="250">
        <f>AVERAGE(I12:I24)</f>
        <v>223.53846153846155</v>
      </c>
      <c r="J25" s="751">
        <f>SUM(J12:J24)</f>
        <v>248816</v>
      </c>
      <c r="K25" s="75">
        <f>SUM(K12:K24)</f>
        <v>311725</v>
      </c>
      <c r="L25" s="858">
        <f t="shared" si="1"/>
        <v>79.819071296816105</v>
      </c>
      <c r="M25" s="16"/>
      <c r="N25" s="16"/>
      <c r="O25" s="16"/>
      <c r="P25" s="16"/>
      <c r="Q25" s="16"/>
      <c r="R25" s="16"/>
      <c r="S25" s="16"/>
      <c r="T25" s="773"/>
    </row>
    <row r="26" spans="1:20" x14ac:dyDescent="0.2">
      <c r="A26" s="8"/>
      <c r="B26" s="20"/>
      <c r="C26" s="20"/>
      <c r="D26" s="16"/>
      <c r="E26" s="16"/>
      <c r="F26" s="16"/>
      <c r="G26" s="16"/>
      <c r="H26" s="16"/>
      <c r="I26" s="16"/>
      <c r="J26" s="16"/>
      <c r="K26" s="75"/>
      <c r="L26" s="75"/>
      <c r="M26" s="16"/>
      <c r="N26" s="16"/>
      <c r="O26" s="16"/>
      <c r="P26" s="16"/>
      <c r="Q26" s="16"/>
      <c r="R26" s="16"/>
      <c r="S26" s="16"/>
      <c r="T26" s="773"/>
    </row>
    <row r="27" spans="1:20" s="911" customFormat="1" x14ac:dyDescent="0.2">
      <c r="A27" s="907"/>
      <c r="B27" s="20"/>
      <c r="C27" s="20"/>
      <c r="D27" s="16"/>
      <c r="E27" s="16"/>
      <c r="F27" s="16"/>
      <c r="G27" s="16"/>
      <c r="H27" s="16"/>
      <c r="I27" s="923">
        <f>I25/E25</f>
        <v>0.94320025965595589</v>
      </c>
      <c r="J27" s="923">
        <f>J25/'enrolment vs opted_UPY'!G24</f>
        <v>0.79819071296816102</v>
      </c>
      <c r="K27" s="75"/>
      <c r="L27" s="75"/>
      <c r="M27" s="16"/>
      <c r="N27" s="16"/>
      <c r="O27" s="16"/>
      <c r="P27" s="16"/>
      <c r="Q27" s="16"/>
      <c r="R27" s="16"/>
      <c r="S27" s="16"/>
    </row>
    <row r="28" spans="1:20" s="911" customFormat="1" x14ac:dyDescent="0.2">
      <c r="A28" s="907"/>
      <c r="B28" s="20"/>
      <c r="C28" s="20"/>
      <c r="D28" s="16"/>
      <c r="E28" s="16"/>
      <c r="F28" s="16"/>
      <c r="G28" s="16"/>
      <c r="H28" s="16"/>
      <c r="I28" s="16"/>
      <c r="J28" s="16"/>
      <c r="K28" s="75"/>
      <c r="L28" s="75"/>
      <c r="M28" s="16"/>
      <c r="N28" s="16"/>
      <c r="O28" s="16"/>
      <c r="P28" s="16"/>
      <c r="Q28" s="16"/>
      <c r="R28" s="16"/>
      <c r="S28" s="16"/>
    </row>
    <row r="29" spans="1:20" ht="15.75" customHeight="1" x14ac:dyDescent="0.2">
      <c r="A29" s="11" t="s">
        <v>11</v>
      </c>
      <c r="B29" s="11"/>
      <c r="C29" s="11"/>
      <c r="D29" s="11"/>
      <c r="E29" s="11"/>
      <c r="F29" s="11"/>
      <c r="G29" s="11"/>
      <c r="J29" s="55" t="s">
        <v>12</v>
      </c>
      <c r="K29" s="75"/>
      <c r="L29" s="75"/>
      <c r="M29" s="16"/>
      <c r="N29" s="16"/>
      <c r="O29" s="16"/>
      <c r="P29" s="16"/>
      <c r="Q29" s="16"/>
      <c r="R29" s="16"/>
      <c r="S29" s="16"/>
      <c r="T29" s="773"/>
    </row>
    <row r="30" spans="1:20" ht="12.75" customHeight="1" x14ac:dyDescent="0.2">
      <c r="A30" s="1086" t="s">
        <v>13</v>
      </c>
      <c r="B30" s="1086"/>
      <c r="C30" s="1086"/>
      <c r="D30" s="1086"/>
      <c r="E30" s="1086"/>
      <c r="F30" s="1086"/>
      <c r="G30" s="1086"/>
      <c r="H30" s="1086"/>
      <c r="I30" s="1086"/>
      <c r="J30" s="1086"/>
      <c r="K30" s="75"/>
      <c r="L30" s="75"/>
      <c r="M30" s="16"/>
      <c r="N30" s="16"/>
      <c r="O30" s="16"/>
      <c r="P30" s="16"/>
      <c r="Q30" s="16"/>
    </row>
    <row r="31" spans="1:20" ht="12.75" customHeight="1" x14ac:dyDescent="0.2">
      <c r="A31" s="1086" t="s">
        <v>19</v>
      </c>
      <c r="B31" s="1086"/>
      <c r="C31" s="1086"/>
      <c r="D31" s="1086"/>
      <c r="E31" s="1086"/>
      <c r="F31" s="1086"/>
      <c r="G31" s="1086"/>
      <c r="H31" s="1086"/>
      <c r="I31" s="1086"/>
      <c r="J31" s="1086"/>
      <c r="K31" s="75"/>
      <c r="L31" s="75"/>
      <c r="M31" s="16"/>
      <c r="N31" s="16"/>
      <c r="O31" s="16"/>
      <c r="P31" s="16"/>
      <c r="Q31" s="16"/>
    </row>
    <row r="32" spans="1:20" x14ac:dyDescent="0.2">
      <c r="A32" s="11"/>
      <c r="B32" s="11"/>
      <c r="C32" s="11"/>
      <c r="E32" s="11"/>
      <c r="I32" s="1000" t="s">
        <v>85</v>
      </c>
      <c r="J32" s="1000"/>
      <c r="K32" s="1000"/>
      <c r="L32" s="1000"/>
      <c r="M32" s="1000"/>
      <c r="N32" s="1000"/>
    </row>
    <row r="36" spans="1:10" x14ac:dyDescent="0.2">
      <c r="A36" s="1099"/>
      <c r="B36" s="1099"/>
      <c r="C36" s="1099"/>
      <c r="D36" s="1099"/>
      <c r="E36" s="1099"/>
      <c r="F36" s="1099"/>
      <c r="G36" s="1099"/>
      <c r="H36" s="1099"/>
      <c r="I36" s="1099"/>
      <c r="J36" s="1099"/>
    </row>
    <row r="38" spans="1:10" x14ac:dyDescent="0.2">
      <c r="A38" s="1099"/>
      <c r="B38" s="1099"/>
      <c r="C38" s="1099"/>
      <c r="D38" s="1099"/>
      <c r="E38" s="1099"/>
      <c r="F38" s="1099"/>
      <c r="G38" s="1099"/>
      <c r="H38" s="1099"/>
      <c r="I38" s="1099"/>
      <c r="J38" s="1099"/>
    </row>
  </sheetData>
  <mergeCells count="16">
    <mergeCell ref="A36:J36"/>
    <mergeCell ref="A38:J38"/>
    <mergeCell ref="E1:I1"/>
    <mergeCell ref="A2:J2"/>
    <mergeCell ref="A3:J3"/>
    <mergeCell ref="A5:J5"/>
    <mergeCell ref="I8:J8"/>
    <mergeCell ref="A9:A10"/>
    <mergeCell ref="I32:N32"/>
    <mergeCell ref="J1:N1"/>
    <mergeCell ref="A30:J30"/>
    <mergeCell ref="A31:J31"/>
    <mergeCell ref="B9:B10"/>
    <mergeCell ref="G9:J9"/>
    <mergeCell ref="C9:F9"/>
    <mergeCell ref="A8:C8"/>
  </mergeCells>
  <phoneticPr fontId="0" type="noConversion"/>
  <printOptions horizontalCentered="1"/>
  <pageMargins left="0.70866141732283472" right="0.56999999999999995" top="0.23622047244094491" bottom="0" header="0.31496062992125984" footer="0.31496062992125984"/>
  <pageSetup paperSize="9" scale="9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30"/>
  <sheetViews>
    <sheetView topLeftCell="A4" workbookViewId="0">
      <selection activeCell="N16" sqref="N16"/>
    </sheetView>
  </sheetViews>
  <sheetFormatPr defaultRowHeight="12.75" x14ac:dyDescent="0.2"/>
  <cols>
    <col min="1" max="1" width="6.42578125" customWidth="1"/>
    <col min="2" max="2" width="17.85546875" customWidth="1"/>
    <col min="3" max="3" width="12.5703125" customWidth="1"/>
    <col min="4" max="4" width="10.5703125" customWidth="1"/>
    <col min="5" max="5" width="13.7109375" customWidth="1"/>
    <col min="6" max="6" width="15.28515625" customWidth="1"/>
    <col min="7" max="7" width="13.42578125" customWidth="1"/>
    <col min="8" max="8" width="14.5703125" customWidth="1"/>
    <col min="9" max="9" width="16" customWidth="1"/>
    <col min="10" max="10" width="19.140625" customWidth="1"/>
  </cols>
  <sheetData>
    <row r="1" spans="1:10" x14ac:dyDescent="0.2">
      <c r="E1" s="985"/>
      <c r="F1" s="985"/>
      <c r="G1" s="985"/>
      <c r="H1" s="985"/>
      <c r="I1" s="985"/>
      <c r="J1" s="86" t="s">
        <v>504</v>
      </c>
    </row>
    <row r="2" spans="1:10" ht="15" x14ac:dyDescent="0.2">
      <c r="A2" s="1080" t="s">
        <v>0</v>
      </c>
      <c r="B2" s="1080"/>
      <c r="C2" s="1080"/>
      <c r="D2" s="1080"/>
      <c r="E2" s="1080"/>
      <c r="F2" s="1080"/>
      <c r="G2" s="1080"/>
      <c r="H2" s="1080"/>
      <c r="I2" s="1080"/>
      <c r="J2" s="1080"/>
    </row>
    <row r="3" spans="1:10" ht="20.25" x14ac:dyDescent="0.3">
      <c r="A3" s="1114" t="s">
        <v>794</v>
      </c>
      <c r="B3" s="1114"/>
      <c r="C3" s="1114"/>
      <c r="D3" s="1114"/>
      <c r="E3" s="1114"/>
      <c r="F3" s="1114"/>
      <c r="G3" s="1114"/>
      <c r="H3" s="1114"/>
      <c r="I3" s="1114"/>
      <c r="J3" s="1114"/>
    </row>
    <row r="5" spans="1:10" ht="15.75" x14ac:dyDescent="0.25">
      <c r="A5" s="1115" t="s">
        <v>816</v>
      </c>
      <c r="B5" s="1115"/>
      <c r="C5" s="1115"/>
      <c r="D5" s="1115"/>
      <c r="E5" s="1115"/>
      <c r="F5" s="1115"/>
      <c r="G5" s="1115"/>
      <c r="H5" s="1115"/>
      <c r="I5" s="1115"/>
      <c r="J5" s="1115"/>
    </row>
    <row r="6" spans="1:10" x14ac:dyDescent="0.2">
      <c r="A6" s="12"/>
      <c r="B6" s="12"/>
      <c r="C6" s="12"/>
      <c r="D6" s="12"/>
      <c r="E6" s="12"/>
      <c r="F6" s="12"/>
      <c r="G6" s="12"/>
      <c r="H6" s="12"/>
      <c r="I6" s="12"/>
      <c r="J6" s="12"/>
    </row>
    <row r="7" spans="1:10" x14ac:dyDescent="0.2">
      <c r="A7" s="1068" t="s">
        <v>463</v>
      </c>
      <c r="B7" s="1068"/>
      <c r="C7" s="1068"/>
      <c r="D7" s="468"/>
      <c r="E7" s="468"/>
      <c r="F7" s="468"/>
      <c r="G7" s="468"/>
      <c r="H7" s="468"/>
      <c r="I7" s="1058" t="s">
        <v>914</v>
      </c>
      <c r="J7" s="1058"/>
    </row>
    <row r="8" spans="1:10" ht="21.75" customHeight="1" x14ac:dyDescent="0.2">
      <c r="A8" s="1064" t="s">
        <v>2</v>
      </c>
      <c r="B8" s="1064" t="s">
        <v>3</v>
      </c>
      <c r="C8" s="1093" t="s">
        <v>814</v>
      </c>
      <c r="D8" s="1071"/>
      <c r="E8" s="1071"/>
      <c r="F8" s="1084"/>
      <c r="G8" s="1093" t="s">
        <v>109</v>
      </c>
      <c r="H8" s="1071"/>
      <c r="I8" s="1071"/>
      <c r="J8" s="1084"/>
    </row>
    <row r="9" spans="1:10" ht="63" customHeight="1" x14ac:dyDescent="0.2">
      <c r="A9" s="1064"/>
      <c r="B9" s="1064"/>
      <c r="C9" s="195" t="s">
        <v>201</v>
      </c>
      <c r="D9" s="195" t="s">
        <v>16</v>
      </c>
      <c r="E9" s="743" t="s">
        <v>817</v>
      </c>
      <c r="F9" s="200" t="s">
        <v>218</v>
      </c>
      <c r="G9" s="195" t="s">
        <v>201</v>
      </c>
      <c r="H9" s="247" t="s">
        <v>17</v>
      </c>
      <c r="I9" s="248" t="s">
        <v>118</v>
      </c>
      <c r="J9" s="195" t="s">
        <v>219</v>
      </c>
    </row>
    <row r="10" spans="1:10" x14ac:dyDescent="0.2">
      <c r="A10" s="195">
        <v>1</v>
      </c>
      <c r="B10" s="195">
        <v>2</v>
      </c>
      <c r="C10" s="195">
        <v>3</v>
      </c>
      <c r="D10" s="195">
        <v>4</v>
      </c>
      <c r="E10" s="195">
        <v>5</v>
      </c>
      <c r="F10" s="200">
        <v>6</v>
      </c>
      <c r="G10" s="195">
        <v>7</v>
      </c>
      <c r="H10" s="201">
        <v>8</v>
      </c>
      <c r="I10" s="195">
        <v>9</v>
      </c>
      <c r="J10" s="195">
        <v>10</v>
      </c>
    </row>
    <row r="11" spans="1:10" ht="20.25" customHeight="1" x14ac:dyDescent="0.2">
      <c r="A11" s="2">
        <v>1</v>
      </c>
      <c r="B11" s="2" t="s">
        <v>392</v>
      </c>
      <c r="C11" s="1105" t="s">
        <v>405</v>
      </c>
      <c r="D11" s="1106"/>
      <c r="E11" s="1106"/>
      <c r="F11" s="1106"/>
      <c r="G11" s="1106"/>
      <c r="H11" s="1106"/>
      <c r="I11" s="1106"/>
      <c r="J11" s="1107"/>
    </row>
    <row r="12" spans="1:10" ht="20.25" customHeight="1" x14ac:dyDescent="0.2">
      <c r="A12" s="2">
        <v>2</v>
      </c>
      <c r="B12" s="2" t="s">
        <v>393</v>
      </c>
      <c r="C12" s="1108"/>
      <c r="D12" s="1109"/>
      <c r="E12" s="1109"/>
      <c r="F12" s="1109"/>
      <c r="G12" s="1109"/>
      <c r="H12" s="1109"/>
      <c r="I12" s="1109"/>
      <c r="J12" s="1110"/>
    </row>
    <row r="13" spans="1:10" ht="20.25" customHeight="1" x14ac:dyDescent="0.2">
      <c r="A13" s="2">
        <v>3</v>
      </c>
      <c r="B13" s="2" t="s">
        <v>394</v>
      </c>
      <c r="C13" s="1108"/>
      <c r="D13" s="1109"/>
      <c r="E13" s="1109"/>
      <c r="F13" s="1109"/>
      <c r="G13" s="1109"/>
      <c r="H13" s="1109"/>
      <c r="I13" s="1109"/>
      <c r="J13" s="1110"/>
    </row>
    <row r="14" spans="1:10" ht="20.25" customHeight="1" x14ac:dyDescent="0.2">
      <c r="A14" s="2">
        <v>4</v>
      </c>
      <c r="B14" s="2" t="s">
        <v>395</v>
      </c>
      <c r="C14" s="1108"/>
      <c r="D14" s="1109"/>
      <c r="E14" s="1109"/>
      <c r="F14" s="1109"/>
      <c r="G14" s="1109"/>
      <c r="H14" s="1109"/>
      <c r="I14" s="1109"/>
      <c r="J14" s="1110"/>
    </row>
    <row r="15" spans="1:10" ht="20.25" customHeight="1" x14ac:dyDescent="0.2">
      <c r="A15" s="2">
        <v>5</v>
      </c>
      <c r="B15" s="503" t="s">
        <v>396</v>
      </c>
      <c r="C15" s="1108"/>
      <c r="D15" s="1109"/>
      <c r="E15" s="1109"/>
      <c r="F15" s="1109"/>
      <c r="G15" s="1109"/>
      <c r="H15" s="1109"/>
      <c r="I15" s="1109"/>
      <c r="J15" s="1110"/>
    </row>
    <row r="16" spans="1:10" ht="20.25" customHeight="1" x14ac:dyDescent="0.2">
      <c r="A16" s="2">
        <v>6</v>
      </c>
      <c r="B16" s="2" t="s">
        <v>397</v>
      </c>
      <c r="C16" s="1108"/>
      <c r="D16" s="1109"/>
      <c r="E16" s="1109"/>
      <c r="F16" s="1109"/>
      <c r="G16" s="1109"/>
      <c r="H16" s="1109"/>
      <c r="I16" s="1109"/>
      <c r="J16" s="1110"/>
    </row>
    <row r="17" spans="1:10" ht="20.25" customHeight="1" x14ac:dyDescent="0.2">
      <c r="A17" s="2">
        <v>7</v>
      </c>
      <c r="B17" s="503" t="s">
        <v>398</v>
      </c>
      <c r="C17" s="1108"/>
      <c r="D17" s="1109"/>
      <c r="E17" s="1109"/>
      <c r="F17" s="1109"/>
      <c r="G17" s="1109"/>
      <c r="H17" s="1109"/>
      <c r="I17" s="1109"/>
      <c r="J17" s="1110"/>
    </row>
    <row r="18" spans="1:10" ht="20.25" customHeight="1" x14ac:dyDescent="0.2">
      <c r="A18" s="2">
        <v>8</v>
      </c>
      <c r="B18" s="2" t="s">
        <v>399</v>
      </c>
      <c r="C18" s="1108"/>
      <c r="D18" s="1109"/>
      <c r="E18" s="1109"/>
      <c r="F18" s="1109"/>
      <c r="G18" s="1109"/>
      <c r="H18" s="1109"/>
      <c r="I18" s="1109"/>
      <c r="J18" s="1110"/>
    </row>
    <row r="19" spans="1:10" ht="20.25" customHeight="1" x14ac:dyDescent="0.2">
      <c r="A19" s="2">
        <v>9</v>
      </c>
      <c r="B19" s="2" t="s">
        <v>400</v>
      </c>
      <c r="C19" s="1108"/>
      <c r="D19" s="1109"/>
      <c r="E19" s="1109"/>
      <c r="F19" s="1109"/>
      <c r="G19" s="1109"/>
      <c r="H19" s="1109"/>
      <c r="I19" s="1109"/>
      <c r="J19" s="1110"/>
    </row>
    <row r="20" spans="1:10" ht="20.25" customHeight="1" x14ac:dyDescent="0.2">
      <c r="A20" s="2">
        <v>10</v>
      </c>
      <c r="B20" s="2" t="s">
        <v>401</v>
      </c>
      <c r="C20" s="1108"/>
      <c r="D20" s="1109"/>
      <c r="E20" s="1109"/>
      <c r="F20" s="1109"/>
      <c r="G20" s="1109"/>
      <c r="H20" s="1109"/>
      <c r="I20" s="1109"/>
      <c r="J20" s="1110"/>
    </row>
    <row r="21" spans="1:10" ht="20.25" customHeight="1" x14ac:dyDescent="0.2">
      <c r="A21" s="2">
        <v>11</v>
      </c>
      <c r="B21" s="2" t="s">
        <v>402</v>
      </c>
      <c r="C21" s="1108"/>
      <c r="D21" s="1109"/>
      <c r="E21" s="1109"/>
      <c r="F21" s="1109"/>
      <c r="G21" s="1109"/>
      <c r="H21" s="1109"/>
      <c r="I21" s="1109"/>
      <c r="J21" s="1110"/>
    </row>
    <row r="22" spans="1:10" ht="20.25" customHeight="1" x14ac:dyDescent="0.2">
      <c r="A22" s="2">
        <v>12</v>
      </c>
      <c r="B22" s="2" t="s">
        <v>403</v>
      </c>
      <c r="C22" s="1108"/>
      <c r="D22" s="1109"/>
      <c r="E22" s="1109"/>
      <c r="F22" s="1109"/>
      <c r="G22" s="1109"/>
      <c r="H22" s="1109"/>
      <c r="I22" s="1109"/>
      <c r="J22" s="1110"/>
    </row>
    <row r="23" spans="1:10" ht="20.25" customHeight="1" x14ac:dyDescent="0.2">
      <c r="A23" s="2">
        <v>13</v>
      </c>
      <c r="B23" s="2" t="s">
        <v>404</v>
      </c>
      <c r="C23" s="1108"/>
      <c r="D23" s="1109"/>
      <c r="E23" s="1109"/>
      <c r="F23" s="1109"/>
      <c r="G23" s="1109"/>
      <c r="H23" s="1109"/>
      <c r="I23" s="1109"/>
      <c r="J23" s="1110"/>
    </row>
    <row r="24" spans="1:10" s="11" customFormat="1" ht="20.25" customHeight="1" x14ac:dyDescent="0.2">
      <c r="A24" s="2" t="s">
        <v>18</v>
      </c>
      <c r="B24" s="2"/>
      <c r="C24" s="1111"/>
      <c r="D24" s="1112"/>
      <c r="E24" s="1112"/>
      <c r="F24" s="1112"/>
      <c r="G24" s="1112"/>
      <c r="H24" s="1112"/>
      <c r="I24" s="1112"/>
      <c r="J24" s="1113"/>
    </row>
    <row r="25" spans="1:10" x14ac:dyDescent="0.2">
      <c r="A25" s="8"/>
      <c r="B25" s="20"/>
      <c r="C25" s="20"/>
      <c r="D25" s="16"/>
      <c r="E25" s="16"/>
      <c r="F25" s="16"/>
      <c r="G25" s="16"/>
      <c r="H25" s="16"/>
      <c r="I25" s="16"/>
      <c r="J25" s="16"/>
    </row>
    <row r="26" spans="1:10" x14ac:dyDescent="0.2">
      <c r="A26" s="8"/>
      <c r="B26" s="20"/>
      <c r="C26" s="20"/>
      <c r="D26" s="16"/>
      <c r="E26" s="16"/>
      <c r="F26" s="16"/>
      <c r="G26" s="16"/>
      <c r="H26" s="16"/>
      <c r="I26" s="16"/>
      <c r="J26" s="16"/>
    </row>
    <row r="27" spans="1:10" x14ac:dyDescent="0.2">
      <c r="A27" s="11" t="s">
        <v>11</v>
      </c>
      <c r="B27" s="11"/>
      <c r="C27" s="11"/>
      <c r="D27" s="11"/>
      <c r="E27" s="11"/>
      <c r="F27" s="11"/>
      <c r="G27" s="11"/>
      <c r="H27" s="12"/>
      <c r="I27" s="1010" t="s">
        <v>12</v>
      </c>
      <c r="J27" s="1010"/>
    </row>
    <row r="28" spans="1:10" x14ac:dyDescent="0.2">
      <c r="A28" s="1086" t="s">
        <v>13</v>
      </c>
      <c r="B28" s="1086"/>
      <c r="C28" s="1086"/>
      <c r="D28" s="1086"/>
      <c r="E28" s="1086"/>
      <c r="F28" s="1086"/>
      <c r="G28" s="1086"/>
      <c r="H28" s="1086"/>
      <c r="I28" s="1086"/>
      <c r="J28" s="1086"/>
    </row>
    <row r="29" spans="1:10" x14ac:dyDescent="0.2">
      <c r="A29" s="1086" t="s">
        <v>19</v>
      </c>
      <c r="B29" s="1086"/>
      <c r="C29" s="1086"/>
      <c r="D29" s="1086"/>
      <c r="E29" s="1086"/>
      <c r="F29" s="1086"/>
      <c r="G29" s="1086"/>
      <c r="H29" s="1086"/>
      <c r="I29" s="1086"/>
      <c r="J29" s="1086"/>
    </row>
    <row r="30" spans="1:10" x14ac:dyDescent="0.2">
      <c r="A30" s="11"/>
      <c r="B30" s="11"/>
      <c r="C30" s="11"/>
      <c r="D30" s="12"/>
      <c r="E30" s="11"/>
      <c r="F30" s="12"/>
      <c r="G30" s="12"/>
      <c r="H30" s="985" t="s">
        <v>85</v>
      </c>
      <c r="I30" s="985"/>
      <c r="J30" s="985"/>
    </row>
  </sheetData>
  <mergeCells count="15">
    <mergeCell ref="E1:I1"/>
    <mergeCell ref="A2:J2"/>
    <mergeCell ref="A3:J3"/>
    <mergeCell ref="A5:J5"/>
    <mergeCell ref="A7:C7"/>
    <mergeCell ref="I7:J7"/>
    <mergeCell ref="A29:J29"/>
    <mergeCell ref="H30:J30"/>
    <mergeCell ref="A8:A9"/>
    <mergeCell ref="B8:B9"/>
    <mergeCell ref="C8:F8"/>
    <mergeCell ref="G8:J8"/>
    <mergeCell ref="I27:J27"/>
    <mergeCell ref="A28:J28"/>
    <mergeCell ref="C11:J24"/>
  </mergeCells>
  <printOptions horizontalCentered="1"/>
  <pageMargins left="0.32" right="0.35" top="0.41" bottom="0.3" header="0.3" footer="0.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L30"/>
  <sheetViews>
    <sheetView view="pageBreakPreview" zoomScale="112" zoomScaleSheetLayoutView="112" workbookViewId="0">
      <selection activeCell="N16" sqref="N16"/>
    </sheetView>
  </sheetViews>
  <sheetFormatPr defaultRowHeight="12.75" x14ac:dyDescent="0.2"/>
  <cols>
    <col min="2" max="2" width="14.85546875" customWidth="1"/>
    <col min="3" max="3" width="12.28515625" customWidth="1"/>
    <col min="4" max="4" width="11.42578125" customWidth="1"/>
    <col min="5" max="5" width="14" customWidth="1"/>
    <col min="6" max="6" width="15.28515625" customWidth="1"/>
    <col min="7" max="7" width="12.85546875" customWidth="1"/>
    <col min="8" max="8" width="14.5703125" customWidth="1"/>
    <col min="9" max="10" width="14.7109375" customWidth="1"/>
  </cols>
  <sheetData>
    <row r="2" spans="1:12" x14ac:dyDescent="0.2">
      <c r="E2" s="985"/>
      <c r="F2" s="985"/>
      <c r="G2" s="985"/>
      <c r="H2" s="985"/>
      <c r="I2" s="985"/>
      <c r="J2" s="478" t="s">
        <v>505</v>
      </c>
    </row>
    <row r="3" spans="1:12" ht="15" x14ac:dyDescent="0.2">
      <c r="A3" s="1080" t="s">
        <v>0</v>
      </c>
      <c r="B3" s="1080"/>
      <c r="C3" s="1080"/>
      <c r="D3" s="1080"/>
      <c r="E3" s="1080"/>
      <c r="F3" s="1080"/>
      <c r="G3" s="1080"/>
      <c r="H3" s="1080"/>
      <c r="I3" s="1080"/>
      <c r="J3" s="1080"/>
    </row>
    <row r="4" spans="1:12" ht="20.25" x14ac:dyDescent="0.3">
      <c r="A4" s="1114" t="s">
        <v>794</v>
      </c>
      <c r="B4" s="1114"/>
      <c r="C4" s="1114"/>
      <c r="D4" s="1114"/>
      <c r="E4" s="1114"/>
      <c r="F4" s="1114"/>
      <c r="G4" s="1114"/>
      <c r="H4" s="1114"/>
      <c r="I4" s="1114"/>
      <c r="J4" s="1114"/>
    </row>
    <row r="5" spans="1:12" ht="15.75" x14ac:dyDescent="0.25">
      <c r="A5" s="1115" t="s">
        <v>818</v>
      </c>
      <c r="B5" s="1115"/>
      <c r="C5" s="1115"/>
      <c r="D5" s="1115"/>
      <c r="E5" s="1115"/>
      <c r="F5" s="1115"/>
      <c r="G5" s="1115"/>
      <c r="H5" s="1115"/>
      <c r="I5" s="1115"/>
      <c r="J5" s="1115"/>
    </row>
    <row r="6" spans="1:12" x14ac:dyDescent="0.2">
      <c r="A6" s="1068" t="s">
        <v>463</v>
      </c>
      <c r="B6" s="1068"/>
      <c r="C6" s="1068"/>
      <c r="D6" s="468"/>
      <c r="E6" s="468"/>
      <c r="F6" s="468"/>
      <c r="G6" s="468"/>
      <c r="H6" s="468"/>
      <c r="I6" s="1058" t="s">
        <v>914</v>
      </c>
      <c r="J6" s="1058"/>
    </row>
    <row r="7" spans="1:12" x14ac:dyDescent="0.2">
      <c r="A7" s="1064" t="s">
        <v>2</v>
      </c>
      <c r="B7" s="1064" t="s">
        <v>3</v>
      </c>
      <c r="C7" s="1093" t="s">
        <v>814</v>
      </c>
      <c r="D7" s="1071"/>
      <c r="E7" s="1071"/>
      <c r="F7" s="1084"/>
      <c r="G7" s="1093" t="s">
        <v>109</v>
      </c>
      <c r="H7" s="1071"/>
      <c r="I7" s="1071"/>
      <c r="J7" s="1084"/>
    </row>
    <row r="8" spans="1:12" ht="51" x14ac:dyDescent="0.2">
      <c r="A8" s="1064"/>
      <c r="B8" s="1064"/>
      <c r="C8" s="195" t="s">
        <v>201</v>
      </c>
      <c r="D8" s="195" t="s">
        <v>16</v>
      </c>
      <c r="E8" s="200" t="s">
        <v>506</v>
      </c>
      <c r="F8" s="200" t="s">
        <v>218</v>
      </c>
      <c r="G8" s="195" t="s">
        <v>201</v>
      </c>
      <c r="H8" s="247" t="s">
        <v>17</v>
      </c>
      <c r="I8" s="248" t="s">
        <v>118</v>
      </c>
      <c r="J8" s="195" t="s">
        <v>219</v>
      </c>
    </row>
    <row r="9" spans="1:12" x14ac:dyDescent="0.2">
      <c r="A9" s="4">
        <v>1</v>
      </c>
      <c r="B9" s="4">
        <v>2</v>
      </c>
      <c r="C9" s="4">
        <v>3</v>
      </c>
      <c r="D9" s="4">
        <v>4</v>
      </c>
      <c r="E9" s="4">
        <v>5</v>
      </c>
      <c r="F9" s="5">
        <v>6</v>
      </c>
      <c r="G9" s="4">
        <v>7</v>
      </c>
      <c r="H9" s="293">
        <v>8</v>
      </c>
      <c r="I9" s="4">
        <v>9</v>
      </c>
      <c r="J9" s="4">
        <v>10</v>
      </c>
    </row>
    <row r="10" spans="1:12" s="345" customFormat="1" ht="21.75" customHeight="1" x14ac:dyDescent="0.2">
      <c r="A10" s="194">
        <v>1</v>
      </c>
      <c r="B10" s="194" t="s">
        <v>392</v>
      </c>
      <c r="C10" s="1105" t="s">
        <v>405</v>
      </c>
      <c r="D10" s="1106"/>
      <c r="E10" s="1106"/>
      <c r="F10" s="1106"/>
      <c r="G10" s="1106"/>
      <c r="H10" s="1106"/>
      <c r="I10" s="1106"/>
      <c r="J10" s="1107"/>
      <c r="K10"/>
      <c r="L10"/>
    </row>
    <row r="11" spans="1:12" s="345" customFormat="1" ht="21.75" customHeight="1" x14ac:dyDescent="0.2">
      <c r="A11" s="194">
        <v>2</v>
      </c>
      <c r="B11" s="194" t="s">
        <v>393</v>
      </c>
      <c r="C11" s="1108"/>
      <c r="D11" s="1109"/>
      <c r="E11" s="1109"/>
      <c r="F11" s="1109"/>
      <c r="G11" s="1109"/>
      <c r="H11" s="1109"/>
      <c r="I11" s="1109"/>
      <c r="J11" s="1110"/>
      <c r="K11"/>
      <c r="L11"/>
    </row>
    <row r="12" spans="1:12" s="345" customFormat="1" ht="21.75" customHeight="1" x14ac:dyDescent="0.2">
      <c r="A12" s="194">
        <v>3</v>
      </c>
      <c r="B12" s="194" t="s">
        <v>394</v>
      </c>
      <c r="C12" s="1108"/>
      <c r="D12" s="1109"/>
      <c r="E12" s="1109"/>
      <c r="F12" s="1109"/>
      <c r="G12" s="1109"/>
      <c r="H12" s="1109"/>
      <c r="I12" s="1109"/>
      <c r="J12" s="1110"/>
      <c r="K12"/>
      <c r="L12"/>
    </row>
    <row r="13" spans="1:12" s="345" customFormat="1" ht="21.75" customHeight="1" x14ac:dyDescent="0.2">
      <c r="A13" s="194">
        <v>4</v>
      </c>
      <c r="B13" s="194" t="s">
        <v>395</v>
      </c>
      <c r="C13" s="1108"/>
      <c r="D13" s="1109"/>
      <c r="E13" s="1109"/>
      <c r="F13" s="1109"/>
      <c r="G13" s="1109"/>
      <c r="H13" s="1109"/>
      <c r="I13" s="1109"/>
      <c r="J13" s="1110"/>
      <c r="K13"/>
      <c r="L13"/>
    </row>
    <row r="14" spans="1:12" s="345" customFormat="1" ht="21.75" customHeight="1" x14ac:dyDescent="0.2">
      <c r="A14" s="194">
        <v>5</v>
      </c>
      <c r="B14" s="363" t="s">
        <v>396</v>
      </c>
      <c r="C14" s="1108"/>
      <c r="D14" s="1109"/>
      <c r="E14" s="1109"/>
      <c r="F14" s="1109"/>
      <c r="G14" s="1109"/>
      <c r="H14" s="1109"/>
      <c r="I14" s="1109"/>
      <c r="J14" s="1110"/>
      <c r="K14"/>
    </row>
    <row r="15" spans="1:12" s="345" customFormat="1" ht="21.75" customHeight="1" x14ac:dyDescent="0.2">
      <c r="A15" s="194">
        <v>6</v>
      </c>
      <c r="B15" s="194" t="s">
        <v>397</v>
      </c>
      <c r="C15" s="1108"/>
      <c r="D15" s="1109"/>
      <c r="E15" s="1109"/>
      <c r="F15" s="1109"/>
      <c r="G15" s="1109"/>
      <c r="H15" s="1109"/>
      <c r="I15" s="1109"/>
      <c r="J15" s="1110"/>
      <c r="K15"/>
      <c r="L15"/>
    </row>
    <row r="16" spans="1:12" s="345" customFormat="1" ht="21.75" customHeight="1" x14ac:dyDescent="0.2">
      <c r="A16" s="194">
        <v>7</v>
      </c>
      <c r="B16" s="363" t="s">
        <v>398</v>
      </c>
      <c r="C16" s="1108"/>
      <c r="D16" s="1109"/>
      <c r="E16" s="1109"/>
      <c r="F16" s="1109"/>
      <c r="G16" s="1109"/>
      <c r="H16" s="1109"/>
      <c r="I16" s="1109"/>
      <c r="J16" s="1110"/>
      <c r="K16"/>
      <c r="L16"/>
    </row>
    <row r="17" spans="1:12" s="345" customFormat="1" ht="21.75" customHeight="1" x14ac:dyDescent="0.2">
      <c r="A17" s="194">
        <v>8</v>
      </c>
      <c r="B17" s="194" t="s">
        <v>399</v>
      </c>
      <c r="C17" s="1108"/>
      <c r="D17" s="1109"/>
      <c r="E17" s="1109"/>
      <c r="F17" s="1109"/>
      <c r="G17" s="1109"/>
      <c r="H17" s="1109"/>
      <c r="I17" s="1109"/>
      <c r="J17" s="1110"/>
      <c r="K17"/>
      <c r="L17"/>
    </row>
    <row r="18" spans="1:12" s="345" customFormat="1" ht="21.75" customHeight="1" x14ac:dyDescent="0.2">
      <c r="A18" s="194">
        <v>9</v>
      </c>
      <c r="B18" s="194" t="s">
        <v>400</v>
      </c>
      <c r="C18" s="1108"/>
      <c r="D18" s="1109"/>
      <c r="E18" s="1109"/>
      <c r="F18" s="1109"/>
      <c r="G18" s="1109"/>
      <c r="H18" s="1109"/>
      <c r="I18" s="1109"/>
      <c r="J18" s="1110"/>
      <c r="K18"/>
      <c r="L18"/>
    </row>
    <row r="19" spans="1:12" s="345" customFormat="1" ht="21.75" customHeight="1" x14ac:dyDescent="0.2">
      <c r="A19" s="194">
        <v>10</v>
      </c>
      <c r="B19" s="194" t="s">
        <v>401</v>
      </c>
      <c r="C19" s="1108"/>
      <c r="D19" s="1109"/>
      <c r="E19" s="1109"/>
      <c r="F19" s="1109"/>
      <c r="G19" s="1109"/>
      <c r="H19" s="1109"/>
      <c r="I19" s="1109"/>
      <c r="J19" s="1110"/>
      <c r="K19"/>
      <c r="L19"/>
    </row>
    <row r="20" spans="1:12" s="345" customFormat="1" ht="21.75" customHeight="1" x14ac:dyDescent="0.2">
      <c r="A20" s="194">
        <v>11</v>
      </c>
      <c r="B20" s="194" t="s">
        <v>402</v>
      </c>
      <c r="C20" s="1108"/>
      <c r="D20" s="1109"/>
      <c r="E20" s="1109"/>
      <c r="F20" s="1109"/>
      <c r="G20" s="1109"/>
      <c r="H20" s="1109"/>
      <c r="I20" s="1109"/>
      <c r="J20" s="1110"/>
      <c r="K20"/>
      <c r="L20"/>
    </row>
    <row r="21" spans="1:12" s="345" customFormat="1" ht="21.75" customHeight="1" x14ac:dyDescent="0.2">
      <c r="A21" s="194">
        <v>12</v>
      </c>
      <c r="B21" s="194" t="s">
        <v>403</v>
      </c>
      <c r="C21" s="1108"/>
      <c r="D21" s="1109"/>
      <c r="E21" s="1109"/>
      <c r="F21" s="1109"/>
      <c r="G21" s="1109"/>
      <c r="H21" s="1109"/>
      <c r="I21" s="1109"/>
      <c r="J21" s="1110"/>
      <c r="K21"/>
      <c r="L21"/>
    </row>
    <row r="22" spans="1:12" s="345" customFormat="1" ht="21.75" customHeight="1" x14ac:dyDescent="0.2">
      <c r="A22" s="194">
        <v>13</v>
      </c>
      <c r="B22" s="194" t="s">
        <v>404</v>
      </c>
      <c r="C22" s="1108"/>
      <c r="D22" s="1109"/>
      <c r="E22" s="1109"/>
      <c r="F22" s="1109"/>
      <c r="G22" s="1109"/>
      <c r="H22" s="1109"/>
      <c r="I22" s="1109"/>
      <c r="J22" s="1110"/>
      <c r="K22"/>
      <c r="L22"/>
    </row>
    <row r="23" spans="1:12" s="345" customFormat="1" ht="21.75" customHeight="1" x14ac:dyDescent="0.2">
      <c r="A23" s="194" t="s">
        <v>18</v>
      </c>
      <c r="B23" s="194"/>
      <c r="C23" s="1111"/>
      <c r="D23" s="1112"/>
      <c r="E23" s="1112"/>
      <c r="F23" s="1112"/>
      <c r="G23" s="1112"/>
      <c r="H23" s="1112"/>
      <c r="I23" s="1112"/>
      <c r="J23" s="1113"/>
    </row>
    <row r="24" spans="1:12" s="345" customFormat="1" ht="12" customHeight="1" x14ac:dyDescent="0.2">
      <c r="A24" s="656"/>
      <c r="B24" s="292"/>
      <c r="C24" s="495"/>
      <c r="D24" s="495"/>
      <c r="E24" s="495"/>
      <c r="F24" s="495"/>
      <c r="G24" s="495"/>
      <c r="H24" s="495"/>
      <c r="I24" s="495"/>
      <c r="J24" s="495"/>
    </row>
    <row r="25" spans="1:12" s="345" customFormat="1" ht="12" customHeight="1" x14ac:dyDescent="0.2">
      <c r="A25" s="292"/>
      <c r="B25" s="292"/>
      <c r="C25" s="495"/>
      <c r="D25" s="495"/>
      <c r="E25" s="495"/>
      <c r="F25" s="495"/>
      <c r="G25" s="495"/>
      <c r="H25" s="495"/>
      <c r="I25" s="495"/>
      <c r="J25" s="495"/>
    </row>
    <row r="26" spans="1:12" ht="12" customHeight="1" x14ac:dyDescent="0.2">
      <c r="A26" s="8"/>
      <c r="B26" s="20"/>
      <c r="C26" s="20"/>
      <c r="D26" s="16"/>
      <c r="E26" s="16"/>
      <c r="F26" s="16"/>
      <c r="G26" s="16"/>
      <c r="H26" s="16"/>
      <c r="I26" s="16"/>
      <c r="J26" s="16"/>
    </row>
    <row r="27" spans="1:12" ht="12" customHeight="1" x14ac:dyDescent="0.2">
      <c r="A27" s="11" t="s">
        <v>11</v>
      </c>
      <c r="B27" s="11"/>
      <c r="C27" s="11"/>
      <c r="D27" s="11"/>
      <c r="E27" s="11"/>
      <c r="F27" s="11"/>
      <c r="G27" s="11"/>
      <c r="H27" s="12"/>
      <c r="I27" s="1010" t="s">
        <v>12</v>
      </c>
      <c r="J27" s="1010"/>
    </row>
    <row r="28" spans="1:12" ht="12" customHeight="1" x14ac:dyDescent="0.2">
      <c r="A28" s="1086" t="s">
        <v>13</v>
      </c>
      <c r="B28" s="1086"/>
      <c r="C28" s="1086"/>
      <c r="D28" s="1086"/>
      <c r="E28" s="1086"/>
      <c r="F28" s="1086"/>
      <c r="G28" s="1086"/>
      <c r="H28" s="1086"/>
      <c r="I28" s="1086"/>
      <c r="J28" s="1086"/>
    </row>
    <row r="29" spans="1:12" ht="12" customHeight="1" x14ac:dyDescent="0.2">
      <c r="A29" s="1086" t="s">
        <v>19</v>
      </c>
      <c r="B29" s="1086"/>
      <c r="C29" s="1086"/>
      <c r="D29" s="1086"/>
      <c r="E29" s="1086"/>
      <c r="F29" s="1086"/>
      <c r="G29" s="1086"/>
      <c r="H29" s="1086"/>
      <c r="I29" s="1086"/>
      <c r="J29" s="1086"/>
    </row>
    <row r="30" spans="1:12" ht="12" customHeight="1" x14ac:dyDescent="0.2">
      <c r="A30" s="11"/>
      <c r="B30" s="11"/>
      <c r="C30" s="11"/>
      <c r="D30" s="12"/>
      <c r="E30" s="11"/>
      <c r="F30" s="12"/>
      <c r="G30" s="12"/>
      <c r="H30" s="985" t="s">
        <v>629</v>
      </c>
      <c r="I30" s="985"/>
      <c r="J30" s="985"/>
    </row>
  </sheetData>
  <mergeCells count="15">
    <mergeCell ref="E2:I2"/>
    <mergeCell ref="A3:J3"/>
    <mergeCell ref="A4:J4"/>
    <mergeCell ref="A5:J5"/>
    <mergeCell ref="A6:C6"/>
    <mergeCell ref="I6:J6"/>
    <mergeCell ref="A29:J29"/>
    <mergeCell ref="H30:J30"/>
    <mergeCell ref="A7:A8"/>
    <mergeCell ref="B7:B8"/>
    <mergeCell ref="C7:F7"/>
    <mergeCell ref="G7:J7"/>
    <mergeCell ref="I27:J27"/>
    <mergeCell ref="A28:J28"/>
    <mergeCell ref="C10:J23"/>
  </mergeCells>
  <printOptions horizontalCentered="1"/>
  <pageMargins left="0.56000000000000005" right="0.48" top="0.3" bottom="0.39" header="0.2"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J33"/>
  <sheetViews>
    <sheetView view="pageBreakPreview" zoomScale="96" zoomScaleSheetLayoutView="96" workbookViewId="0">
      <selection activeCell="N16" sqref="N16"/>
    </sheetView>
  </sheetViews>
  <sheetFormatPr defaultRowHeight="12.75" x14ac:dyDescent="0.2"/>
  <cols>
    <col min="1" max="1" width="7.42578125" customWidth="1"/>
    <col min="2" max="2" width="15.140625" customWidth="1"/>
    <col min="3" max="3" width="12.28515625" customWidth="1"/>
    <col min="4" max="5" width="10.5703125" customWidth="1"/>
    <col min="6" max="6" width="16.7109375" customWidth="1"/>
    <col min="7" max="7" width="12.5703125" customWidth="1"/>
    <col min="8" max="8" width="13.85546875" customWidth="1"/>
    <col min="9" max="9" width="18" customWidth="1"/>
    <col min="10" max="10" width="20.42578125" customWidth="1"/>
  </cols>
  <sheetData>
    <row r="2" spans="1:10" x14ac:dyDescent="0.2">
      <c r="E2" s="985"/>
      <c r="F2" s="985"/>
      <c r="G2" s="985"/>
      <c r="H2" s="985"/>
      <c r="I2" s="985"/>
      <c r="J2" s="478" t="s">
        <v>507</v>
      </c>
    </row>
    <row r="3" spans="1:10" ht="15" x14ac:dyDescent="0.2">
      <c r="A3" s="1080" t="s">
        <v>0</v>
      </c>
      <c r="B3" s="1080"/>
      <c r="C3" s="1080"/>
      <c r="D3" s="1080"/>
      <c r="E3" s="1080"/>
      <c r="F3" s="1080"/>
      <c r="G3" s="1080"/>
      <c r="H3" s="1080"/>
      <c r="I3" s="1080"/>
      <c r="J3" s="1080"/>
    </row>
    <row r="4" spans="1:10" ht="15.75" x14ac:dyDescent="0.25">
      <c r="A4" s="1056" t="s">
        <v>794</v>
      </c>
      <c r="B4" s="1056"/>
      <c r="C4" s="1056"/>
      <c r="D4" s="1056"/>
      <c r="E4" s="1056"/>
      <c r="F4" s="1056"/>
      <c r="G4" s="1056"/>
      <c r="H4" s="1056"/>
      <c r="I4" s="1056"/>
      <c r="J4" s="1056"/>
    </row>
    <row r="5" spans="1:10" ht="15.75" x14ac:dyDescent="0.25">
      <c r="A5" s="1115" t="s">
        <v>819</v>
      </c>
      <c r="B5" s="1115"/>
      <c r="C5" s="1115"/>
      <c r="D5" s="1115"/>
      <c r="E5" s="1115"/>
      <c r="F5" s="1115"/>
      <c r="G5" s="1115"/>
      <c r="H5" s="1115"/>
      <c r="I5" s="1115"/>
      <c r="J5" s="1115"/>
    </row>
    <row r="6" spans="1:10" x14ac:dyDescent="0.2">
      <c r="A6" s="12"/>
      <c r="B6" s="12"/>
      <c r="C6" s="12"/>
      <c r="D6" s="12"/>
      <c r="E6" s="12"/>
      <c r="F6" s="12"/>
      <c r="G6" s="12"/>
      <c r="H6" s="12"/>
      <c r="I6" s="12"/>
      <c r="J6" s="12"/>
    </row>
    <row r="7" spans="1:10" x14ac:dyDescent="0.2">
      <c r="A7" s="1068" t="s">
        <v>463</v>
      </c>
      <c r="B7" s="1068"/>
      <c r="C7" s="1068"/>
      <c r="D7" s="468"/>
      <c r="E7" s="468"/>
      <c r="F7" s="468"/>
      <c r="G7" s="468"/>
      <c r="H7" s="468"/>
      <c r="I7" s="1058" t="s">
        <v>914</v>
      </c>
      <c r="J7" s="1058"/>
    </row>
    <row r="8" spans="1:10" ht="16.5" customHeight="1" x14ac:dyDescent="0.2">
      <c r="A8" s="1064" t="s">
        <v>2</v>
      </c>
      <c r="B8" s="1064" t="s">
        <v>3</v>
      </c>
      <c r="C8" s="1093" t="s">
        <v>814</v>
      </c>
      <c r="D8" s="1071"/>
      <c r="E8" s="1071"/>
      <c r="F8" s="1084"/>
      <c r="G8" s="1093" t="s">
        <v>109</v>
      </c>
      <c r="H8" s="1071"/>
      <c r="I8" s="1071"/>
      <c r="J8" s="1084"/>
    </row>
    <row r="9" spans="1:10" ht="45.75" customHeight="1" x14ac:dyDescent="0.2">
      <c r="A9" s="1064"/>
      <c r="B9" s="1064"/>
      <c r="C9" s="195" t="s">
        <v>201</v>
      </c>
      <c r="D9" s="195" t="s">
        <v>16</v>
      </c>
      <c r="E9" s="200" t="s">
        <v>508</v>
      </c>
      <c r="F9" s="200" t="s">
        <v>218</v>
      </c>
      <c r="G9" s="195" t="s">
        <v>201</v>
      </c>
      <c r="H9" s="247" t="s">
        <v>17</v>
      </c>
      <c r="I9" s="248" t="s">
        <v>118</v>
      </c>
      <c r="J9" s="195" t="s">
        <v>219</v>
      </c>
    </row>
    <row r="10" spans="1:10" x14ac:dyDescent="0.2">
      <c r="A10" s="4">
        <v>1</v>
      </c>
      <c r="B10" s="4">
        <v>2</v>
      </c>
      <c r="C10" s="4">
        <v>3</v>
      </c>
      <c r="D10" s="4">
        <v>4</v>
      </c>
      <c r="E10" s="4">
        <v>5</v>
      </c>
      <c r="F10" s="5">
        <v>6</v>
      </c>
      <c r="G10" s="4">
        <v>7</v>
      </c>
      <c r="H10" s="293">
        <v>8</v>
      </c>
      <c r="I10" s="4">
        <v>9</v>
      </c>
      <c r="J10" s="4">
        <v>10</v>
      </c>
    </row>
    <row r="11" spans="1:10" s="345" customFormat="1" ht="18.75" customHeight="1" x14ac:dyDescent="0.2">
      <c r="A11" s="194">
        <v>1</v>
      </c>
      <c r="B11" s="194" t="s">
        <v>392</v>
      </c>
      <c r="C11" s="1105" t="s">
        <v>405</v>
      </c>
      <c r="D11" s="1106"/>
      <c r="E11" s="1106"/>
      <c r="F11" s="1106"/>
      <c r="G11" s="1106"/>
      <c r="H11" s="1106"/>
      <c r="I11" s="1106"/>
      <c r="J11" s="1107"/>
    </row>
    <row r="12" spans="1:10" s="345" customFormat="1" ht="18.75" customHeight="1" x14ac:dyDescent="0.2">
      <c r="A12" s="194">
        <v>2</v>
      </c>
      <c r="B12" s="194" t="s">
        <v>393</v>
      </c>
      <c r="C12" s="1108"/>
      <c r="D12" s="1109"/>
      <c r="E12" s="1109"/>
      <c r="F12" s="1109"/>
      <c r="G12" s="1109"/>
      <c r="H12" s="1109"/>
      <c r="I12" s="1109"/>
      <c r="J12" s="1110"/>
    </row>
    <row r="13" spans="1:10" s="345" customFormat="1" ht="18.75" customHeight="1" x14ac:dyDescent="0.2">
      <c r="A13" s="194">
        <v>3</v>
      </c>
      <c r="B13" s="194" t="s">
        <v>394</v>
      </c>
      <c r="C13" s="1108"/>
      <c r="D13" s="1109"/>
      <c r="E13" s="1109"/>
      <c r="F13" s="1109"/>
      <c r="G13" s="1109"/>
      <c r="H13" s="1109"/>
      <c r="I13" s="1109"/>
      <c r="J13" s="1110"/>
    </row>
    <row r="14" spans="1:10" s="345" customFormat="1" ht="18.75" customHeight="1" x14ac:dyDescent="0.2">
      <c r="A14" s="194">
        <v>4</v>
      </c>
      <c r="B14" s="194" t="s">
        <v>395</v>
      </c>
      <c r="C14" s="1108"/>
      <c r="D14" s="1109"/>
      <c r="E14" s="1109"/>
      <c r="F14" s="1109"/>
      <c r="G14" s="1109"/>
      <c r="H14" s="1109"/>
      <c r="I14" s="1109"/>
      <c r="J14" s="1110"/>
    </row>
    <row r="15" spans="1:10" s="345" customFormat="1" ht="18.75" customHeight="1" x14ac:dyDescent="0.2">
      <c r="A15" s="194">
        <v>5</v>
      </c>
      <c r="B15" s="363" t="s">
        <v>396</v>
      </c>
      <c r="C15" s="1108"/>
      <c r="D15" s="1109"/>
      <c r="E15" s="1109"/>
      <c r="F15" s="1109"/>
      <c r="G15" s="1109"/>
      <c r="H15" s="1109"/>
      <c r="I15" s="1109"/>
      <c r="J15" s="1110"/>
    </row>
    <row r="16" spans="1:10" s="345" customFormat="1" ht="18.75" customHeight="1" x14ac:dyDescent="0.2">
      <c r="A16" s="194">
        <v>6</v>
      </c>
      <c r="B16" s="194" t="s">
        <v>397</v>
      </c>
      <c r="C16" s="1108"/>
      <c r="D16" s="1109"/>
      <c r="E16" s="1109"/>
      <c r="F16" s="1109"/>
      <c r="G16" s="1109"/>
      <c r="H16" s="1109"/>
      <c r="I16" s="1109"/>
      <c r="J16" s="1110"/>
    </row>
    <row r="17" spans="1:10" s="345" customFormat="1" ht="18.75" customHeight="1" x14ac:dyDescent="0.2">
      <c r="A17" s="194">
        <v>7</v>
      </c>
      <c r="B17" s="363" t="s">
        <v>398</v>
      </c>
      <c r="C17" s="1108"/>
      <c r="D17" s="1109"/>
      <c r="E17" s="1109"/>
      <c r="F17" s="1109"/>
      <c r="G17" s="1109"/>
      <c r="H17" s="1109"/>
      <c r="I17" s="1109"/>
      <c r="J17" s="1110"/>
    </row>
    <row r="18" spans="1:10" s="345" customFormat="1" ht="18.75" customHeight="1" x14ac:dyDescent="0.2">
      <c r="A18" s="194">
        <v>8</v>
      </c>
      <c r="B18" s="194" t="s">
        <v>399</v>
      </c>
      <c r="C18" s="1108"/>
      <c r="D18" s="1109"/>
      <c r="E18" s="1109"/>
      <c r="F18" s="1109"/>
      <c r="G18" s="1109"/>
      <c r="H18" s="1109"/>
      <c r="I18" s="1109"/>
      <c r="J18" s="1110"/>
    </row>
    <row r="19" spans="1:10" s="345" customFormat="1" ht="18.75" customHeight="1" x14ac:dyDescent="0.2">
      <c r="A19" s="194">
        <v>9</v>
      </c>
      <c r="B19" s="194" t="s">
        <v>400</v>
      </c>
      <c r="C19" s="1108"/>
      <c r="D19" s="1109"/>
      <c r="E19" s="1109"/>
      <c r="F19" s="1109"/>
      <c r="G19" s="1109"/>
      <c r="H19" s="1109"/>
      <c r="I19" s="1109"/>
      <c r="J19" s="1110"/>
    </row>
    <row r="20" spans="1:10" s="345" customFormat="1" ht="18.75" customHeight="1" x14ac:dyDescent="0.2">
      <c r="A20" s="194">
        <v>10</v>
      </c>
      <c r="B20" s="194" t="s">
        <v>401</v>
      </c>
      <c r="C20" s="1108"/>
      <c r="D20" s="1109"/>
      <c r="E20" s="1109"/>
      <c r="F20" s="1109"/>
      <c r="G20" s="1109"/>
      <c r="H20" s="1109"/>
      <c r="I20" s="1109"/>
      <c r="J20" s="1110"/>
    </row>
    <row r="21" spans="1:10" s="345" customFormat="1" ht="18.75" customHeight="1" x14ac:dyDescent="0.2">
      <c r="A21" s="194">
        <v>11</v>
      </c>
      <c r="B21" s="194" t="s">
        <v>402</v>
      </c>
      <c r="C21" s="1108"/>
      <c r="D21" s="1109"/>
      <c r="E21" s="1109"/>
      <c r="F21" s="1109"/>
      <c r="G21" s="1109"/>
      <c r="H21" s="1109"/>
      <c r="I21" s="1109"/>
      <c r="J21" s="1110"/>
    </row>
    <row r="22" spans="1:10" s="345" customFormat="1" ht="18.75" customHeight="1" x14ac:dyDescent="0.2">
      <c r="A22" s="194">
        <v>12</v>
      </c>
      <c r="B22" s="194" t="s">
        <v>403</v>
      </c>
      <c r="C22" s="1108"/>
      <c r="D22" s="1109"/>
      <c r="E22" s="1109"/>
      <c r="F22" s="1109"/>
      <c r="G22" s="1109"/>
      <c r="H22" s="1109"/>
      <c r="I22" s="1109"/>
      <c r="J22" s="1110"/>
    </row>
    <row r="23" spans="1:10" s="345" customFormat="1" ht="18.75" customHeight="1" x14ac:dyDescent="0.2">
      <c r="A23" s="194">
        <v>13</v>
      </c>
      <c r="B23" s="194" t="s">
        <v>404</v>
      </c>
      <c r="C23" s="1108"/>
      <c r="D23" s="1109"/>
      <c r="E23" s="1109"/>
      <c r="F23" s="1109"/>
      <c r="G23" s="1109"/>
      <c r="H23" s="1109"/>
      <c r="I23" s="1109"/>
      <c r="J23" s="1110"/>
    </row>
    <row r="24" spans="1:10" s="345" customFormat="1" ht="18.75" customHeight="1" x14ac:dyDescent="0.2">
      <c r="A24" s="194" t="s">
        <v>18</v>
      </c>
      <c r="B24" s="194"/>
      <c r="C24" s="1111"/>
      <c r="D24" s="1112"/>
      <c r="E24" s="1112"/>
      <c r="F24" s="1112"/>
      <c r="G24" s="1112"/>
      <c r="H24" s="1112"/>
      <c r="I24" s="1112"/>
      <c r="J24" s="1113"/>
    </row>
    <row r="25" spans="1:10" x14ac:dyDescent="0.2">
      <c r="A25" s="656"/>
      <c r="B25" s="20"/>
      <c r="C25" s="20"/>
      <c r="D25" s="16"/>
      <c r="E25" s="16"/>
      <c r="F25" s="16"/>
      <c r="G25" s="16"/>
      <c r="H25" s="16"/>
      <c r="I25" s="16"/>
      <c r="J25" s="16"/>
    </row>
    <row r="26" spans="1:10" x14ac:dyDescent="0.2">
      <c r="A26" s="8"/>
      <c r="B26" s="20"/>
      <c r="C26" s="20"/>
      <c r="D26" s="16"/>
      <c r="E26" s="16"/>
      <c r="F26" s="16"/>
      <c r="G26" s="16"/>
      <c r="H26" s="16"/>
      <c r="I26" s="16"/>
      <c r="J26" s="16"/>
    </row>
    <row r="27" spans="1:10" x14ac:dyDescent="0.2">
      <c r="A27" s="8"/>
      <c r="B27" s="20"/>
      <c r="C27" s="20"/>
      <c r="D27" s="16"/>
      <c r="E27" s="16"/>
      <c r="F27" s="16"/>
      <c r="G27" s="16"/>
      <c r="H27" s="16"/>
      <c r="I27" s="16"/>
      <c r="J27" s="16"/>
    </row>
    <row r="28" spans="1:10" x14ac:dyDescent="0.2">
      <c r="A28" s="8"/>
      <c r="B28" s="20"/>
      <c r="C28" s="20"/>
      <c r="D28" s="16"/>
      <c r="E28" s="16"/>
      <c r="F28" s="16"/>
      <c r="G28" s="16"/>
      <c r="H28" s="16"/>
      <c r="I28" s="16"/>
      <c r="J28" s="16"/>
    </row>
    <row r="29" spans="1:10" x14ac:dyDescent="0.2">
      <c r="A29" s="8"/>
      <c r="B29" s="20"/>
      <c r="C29" s="20"/>
      <c r="D29" s="16"/>
      <c r="E29" s="16"/>
      <c r="F29" s="16"/>
      <c r="G29" s="16"/>
      <c r="H29" s="16"/>
      <c r="I29" s="16"/>
      <c r="J29" s="16"/>
    </row>
    <row r="30" spans="1:10" x14ac:dyDescent="0.2">
      <c r="A30" s="11" t="s">
        <v>11</v>
      </c>
      <c r="B30" s="11"/>
      <c r="C30" s="11"/>
      <c r="D30" s="11"/>
      <c r="E30" s="11"/>
      <c r="F30" s="11"/>
      <c r="G30" s="11"/>
      <c r="H30" s="12"/>
      <c r="I30" s="1010" t="s">
        <v>12</v>
      </c>
      <c r="J30" s="1010"/>
    </row>
    <row r="31" spans="1:10" x14ac:dyDescent="0.2">
      <c r="A31" s="1086" t="s">
        <v>13</v>
      </c>
      <c r="B31" s="1086"/>
      <c r="C31" s="1086"/>
      <c r="D31" s="1086"/>
      <c r="E31" s="1086"/>
      <c r="F31" s="1086"/>
      <c r="G31" s="1086"/>
      <c r="H31" s="1086"/>
      <c r="I31" s="1086"/>
      <c r="J31" s="1086"/>
    </row>
    <row r="32" spans="1:10" ht="12.75" customHeight="1" x14ac:dyDescent="0.2">
      <c r="A32" s="1086" t="s">
        <v>19</v>
      </c>
      <c r="B32" s="1086"/>
      <c r="C32" s="1086"/>
      <c r="D32" s="1086"/>
      <c r="E32" s="1086"/>
      <c r="F32" s="1086"/>
      <c r="G32" s="1086"/>
      <c r="H32" s="1086"/>
      <c r="I32" s="1086"/>
      <c r="J32" s="1086"/>
    </row>
    <row r="33" spans="1:10" ht="12.75" customHeight="1" x14ac:dyDescent="0.2">
      <c r="A33" s="11"/>
      <c r="B33" s="11"/>
      <c r="C33" s="11"/>
      <c r="D33" s="12"/>
      <c r="E33" s="11"/>
      <c r="F33" s="12"/>
      <c r="G33" s="12"/>
      <c r="H33" s="985" t="s">
        <v>85</v>
      </c>
      <c r="I33" s="985"/>
      <c r="J33" s="985"/>
    </row>
  </sheetData>
  <mergeCells count="15">
    <mergeCell ref="E2:I2"/>
    <mergeCell ref="A3:J3"/>
    <mergeCell ref="A4:J4"/>
    <mergeCell ref="A5:J5"/>
    <mergeCell ref="A7:C7"/>
    <mergeCell ref="I7:J7"/>
    <mergeCell ref="G8:J8"/>
    <mergeCell ref="A32:J32"/>
    <mergeCell ref="I30:J30"/>
    <mergeCell ref="A31:J31"/>
    <mergeCell ref="H33:J33"/>
    <mergeCell ref="A8:A9"/>
    <mergeCell ref="B8:B9"/>
    <mergeCell ref="C8:F8"/>
    <mergeCell ref="C11:J24"/>
  </mergeCells>
  <printOptions horizontalCentered="1"/>
  <pageMargins left="0.41" right="0.51" top="0.42" bottom="0.38" header="0.2" footer="0.2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pageSetUpPr fitToPage="1"/>
  </sheetPr>
  <dimension ref="A1:R34"/>
  <sheetViews>
    <sheetView view="pageBreakPreview" topLeftCell="A13" zoomScaleSheetLayoutView="100" workbookViewId="0">
      <selection activeCell="F34" sqref="F34"/>
    </sheetView>
  </sheetViews>
  <sheetFormatPr defaultRowHeight="12.75" x14ac:dyDescent="0.2"/>
  <cols>
    <col min="1" max="1" width="5.5703125" style="12" customWidth="1"/>
    <col min="2" max="2" width="12.42578125" style="12" customWidth="1"/>
    <col min="3" max="3" width="10.5703125" style="12" customWidth="1"/>
    <col min="4" max="4" width="9.85546875" style="12" customWidth="1"/>
    <col min="5" max="5" width="8.7109375" style="12" customWidth="1"/>
    <col min="6" max="6" width="10.85546875" style="12" customWidth="1"/>
    <col min="7" max="7" width="15.85546875" style="12" customWidth="1"/>
    <col min="8" max="8" width="12.42578125" style="12" customWidth="1"/>
    <col min="9" max="9" width="12.140625" style="12" customWidth="1"/>
    <col min="10" max="10" width="9" style="12" customWidth="1"/>
    <col min="11" max="11" width="12" style="12" customWidth="1"/>
    <col min="12" max="12" width="14.140625" style="12" customWidth="1"/>
    <col min="13" max="14" width="9.140625" style="12"/>
    <col min="15" max="15" width="10.5703125" style="12" bestFit="1" customWidth="1"/>
    <col min="16" max="16384" width="9.140625" style="12"/>
  </cols>
  <sheetData>
    <row r="1" spans="1:18" customFormat="1" ht="15" x14ac:dyDescent="0.2">
      <c r="D1" s="24"/>
      <c r="E1" s="24"/>
      <c r="F1" s="24"/>
      <c r="G1" s="24"/>
      <c r="H1" s="24"/>
      <c r="I1" s="24"/>
      <c r="J1" s="24"/>
      <c r="K1" s="24"/>
      <c r="L1" s="1101" t="s">
        <v>65</v>
      </c>
      <c r="M1" s="1101"/>
      <c r="N1" s="32"/>
      <c r="O1" s="32"/>
    </row>
    <row r="2" spans="1:18" customFormat="1" ht="15" x14ac:dyDescent="0.2">
      <c r="A2" s="1080" t="s">
        <v>0</v>
      </c>
      <c r="B2" s="1080"/>
      <c r="C2" s="1080"/>
      <c r="D2" s="1080"/>
      <c r="E2" s="1080"/>
      <c r="F2" s="1080"/>
      <c r="G2" s="1080"/>
      <c r="H2" s="1080"/>
      <c r="I2" s="1080"/>
      <c r="J2" s="1080"/>
      <c r="K2" s="1080"/>
      <c r="L2" s="1080"/>
      <c r="M2" s="34"/>
      <c r="N2" s="34"/>
      <c r="O2" s="34"/>
    </row>
    <row r="3" spans="1:18" customFormat="1" ht="15.75" x14ac:dyDescent="0.25">
      <c r="A3" s="1056" t="s">
        <v>794</v>
      </c>
      <c r="B3" s="1056"/>
      <c r="C3" s="1056"/>
      <c r="D3" s="1056"/>
      <c r="E3" s="1056"/>
      <c r="F3" s="1056"/>
      <c r="G3" s="1056"/>
      <c r="H3" s="1056"/>
      <c r="I3" s="1056"/>
      <c r="J3" s="1056"/>
      <c r="K3" s="1056"/>
      <c r="L3" s="1056"/>
      <c r="M3" s="70"/>
      <c r="N3" s="70"/>
      <c r="O3" s="70"/>
      <c r="P3" s="70"/>
      <c r="Q3" s="70"/>
    </row>
    <row r="4" spans="1:18" ht="19.5" customHeight="1" x14ac:dyDescent="0.25">
      <c r="A4" s="1085" t="s">
        <v>864</v>
      </c>
      <c r="B4" s="1085"/>
      <c r="C4" s="1085"/>
      <c r="D4" s="1085"/>
      <c r="E4" s="1085"/>
      <c r="F4" s="1085"/>
      <c r="G4" s="1085"/>
      <c r="H4" s="1085"/>
      <c r="I4" s="1085"/>
      <c r="J4" s="1085"/>
      <c r="K4" s="1085"/>
      <c r="L4" s="1085"/>
    </row>
    <row r="5" spans="1:18" x14ac:dyDescent="0.2">
      <c r="A5" s="17"/>
      <c r="B5" s="17"/>
      <c r="C5" s="17"/>
      <c r="D5" s="17"/>
      <c r="E5" s="17"/>
      <c r="F5" s="17"/>
      <c r="G5" s="17"/>
      <c r="H5" s="17"/>
      <c r="I5" s="17"/>
      <c r="J5" s="17"/>
      <c r="K5" s="17"/>
      <c r="L5" s="193" t="s">
        <v>20</v>
      </c>
    </row>
    <row r="6" spans="1:18" x14ac:dyDescent="0.2">
      <c r="A6" s="985" t="s">
        <v>463</v>
      </c>
      <c r="B6" s="985"/>
      <c r="C6" s="985"/>
      <c r="G6" s="193"/>
      <c r="H6" s="193"/>
      <c r="I6" s="193"/>
      <c r="J6" s="193"/>
      <c r="K6" s="193"/>
      <c r="L6" s="193"/>
    </row>
    <row r="7" spans="1:18" x14ac:dyDescent="0.2">
      <c r="A7" s="11"/>
      <c r="F7" s="13"/>
      <c r="G7" s="67"/>
      <c r="H7" s="67"/>
      <c r="I7" s="1116" t="s">
        <v>914</v>
      </c>
      <c r="J7" s="1116"/>
      <c r="K7" s="1116"/>
      <c r="L7" s="1116"/>
    </row>
    <row r="8" spans="1:18" s="11" customFormat="1" x14ac:dyDescent="0.2">
      <c r="A8" s="1064" t="s">
        <v>2</v>
      </c>
      <c r="B8" s="1064" t="s">
        <v>3</v>
      </c>
      <c r="C8" s="1090" t="s">
        <v>21</v>
      </c>
      <c r="D8" s="1091"/>
      <c r="E8" s="1091"/>
      <c r="F8" s="1091"/>
      <c r="G8" s="1091"/>
      <c r="H8" s="1064" t="s">
        <v>43</v>
      </c>
      <c r="I8" s="1064"/>
      <c r="J8" s="1064"/>
      <c r="K8" s="1064"/>
      <c r="L8" s="1064"/>
      <c r="Q8" s="20"/>
      <c r="R8" s="20"/>
    </row>
    <row r="9" spans="1:18" s="11" customFormat="1" ht="77.45" customHeight="1" x14ac:dyDescent="0.2">
      <c r="A9" s="1064"/>
      <c r="B9" s="1064"/>
      <c r="C9" s="777" t="s">
        <v>820</v>
      </c>
      <c r="D9" s="777" t="s">
        <v>821</v>
      </c>
      <c r="E9" s="195" t="s">
        <v>72</v>
      </c>
      <c r="F9" s="195" t="s">
        <v>73</v>
      </c>
      <c r="G9" s="777" t="s">
        <v>865</v>
      </c>
      <c r="H9" s="777" t="s">
        <v>820</v>
      </c>
      <c r="I9" s="777" t="s">
        <v>821</v>
      </c>
      <c r="J9" s="195" t="s">
        <v>72</v>
      </c>
      <c r="K9" s="195" t="s">
        <v>73</v>
      </c>
      <c r="L9" s="777" t="s">
        <v>866</v>
      </c>
    </row>
    <row r="10" spans="1:18" s="11" customFormat="1" x14ac:dyDescent="0.2">
      <c r="A10" s="195">
        <v>1</v>
      </c>
      <c r="B10" s="195">
        <v>2</v>
      </c>
      <c r="C10" s="195">
        <v>3</v>
      </c>
      <c r="D10" s="195">
        <v>4</v>
      </c>
      <c r="E10" s="195">
        <v>5</v>
      </c>
      <c r="F10" s="195">
        <v>6</v>
      </c>
      <c r="G10" s="195">
        <v>7</v>
      </c>
      <c r="H10" s="195">
        <v>8</v>
      </c>
      <c r="I10" s="195">
        <v>9</v>
      </c>
      <c r="J10" s="195">
        <v>10</v>
      </c>
      <c r="K10" s="195">
        <v>11</v>
      </c>
      <c r="L10" s="195">
        <v>12</v>
      </c>
    </row>
    <row r="11" spans="1:18" ht="20.100000000000001" customHeight="1" x14ac:dyDescent="0.2">
      <c r="A11" s="194">
        <v>1</v>
      </c>
      <c r="B11" s="225" t="s">
        <v>392</v>
      </c>
      <c r="C11" s="92">
        <v>608.71</v>
      </c>
      <c r="D11" s="92">
        <v>12.99</v>
      </c>
      <c r="E11" s="92">
        <v>552.36</v>
      </c>
      <c r="F11" s="92">
        <v>532.28</v>
      </c>
      <c r="G11" s="203">
        <f>D11+E11-F11</f>
        <v>33.07000000000005</v>
      </c>
      <c r="H11" s="1117" t="s">
        <v>405</v>
      </c>
      <c r="I11" s="1118"/>
      <c r="J11" s="1118"/>
      <c r="K11" s="1118"/>
      <c r="L11" s="1119"/>
    </row>
    <row r="12" spans="1:18" ht="20.100000000000001" customHeight="1" x14ac:dyDescent="0.2">
      <c r="A12" s="194">
        <v>2</v>
      </c>
      <c r="B12" s="225" t="s">
        <v>393</v>
      </c>
      <c r="C12" s="92">
        <v>311.32</v>
      </c>
      <c r="D12" s="92">
        <v>72.94</v>
      </c>
      <c r="E12" s="92">
        <v>277.24</v>
      </c>
      <c r="F12" s="203">
        <v>271.36</v>
      </c>
      <c r="G12" s="203">
        <f t="shared" ref="G12:G22" si="0">D12+E12-F12</f>
        <v>78.819999999999993</v>
      </c>
      <c r="H12" s="1120"/>
      <c r="I12" s="1121"/>
      <c r="J12" s="1121"/>
      <c r="K12" s="1121"/>
      <c r="L12" s="1122"/>
    </row>
    <row r="13" spans="1:18" ht="20.100000000000001" customHeight="1" x14ac:dyDescent="0.2">
      <c r="A13" s="194">
        <v>3</v>
      </c>
      <c r="B13" s="225" t="s">
        <v>394</v>
      </c>
      <c r="C13" s="92">
        <v>485.07</v>
      </c>
      <c r="D13" s="92">
        <v>50.75</v>
      </c>
      <c r="E13" s="92">
        <v>442.77</v>
      </c>
      <c r="F13" s="92">
        <v>446.29</v>
      </c>
      <c r="G13" s="203">
        <f t="shared" si="0"/>
        <v>47.229999999999961</v>
      </c>
      <c r="H13" s="1120"/>
      <c r="I13" s="1121"/>
      <c r="J13" s="1121"/>
      <c r="K13" s="1121"/>
      <c r="L13" s="1122"/>
    </row>
    <row r="14" spans="1:18" ht="20.100000000000001" customHeight="1" x14ac:dyDescent="0.2">
      <c r="A14" s="194">
        <v>4</v>
      </c>
      <c r="B14" s="225" t="s">
        <v>395</v>
      </c>
      <c r="C14" s="92">
        <v>296.94</v>
      </c>
      <c r="D14" s="92">
        <v>40.1</v>
      </c>
      <c r="E14" s="92">
        <v>261.26</v>
      </c>
      <c r="F14" s="92">
        <v>253.7</v>
      </c>
      <c r="G14" s="203">
        <f t="shared" si="0"/>
        <v>47.660000000000025</v>
      </c>
      <c r="H14" s="1120"/>
      <c r="I14" s="1121"/>
      <c r="J14" s="1121"/>
      <c r="K14" s="1121"/>
      <c r="L14" s="1122"/>
    </row>
    <row r="15" spans="1:18" ht="20.100000000000001" customHeight="1" x14ac:dyDescent="0.2">
      <c r="A15" s="194">
        <v>5</v>
      </c>
      <c r="B15" s="227" t="s">
        <v>396</v>
      </c>
      <c r="C15" s="92">
        <v>892.28</v>
      </c>
      <c r="D15" s="92">
        <v>16.2</v>
      </c>
      <c r="E15" s="92">
        <v>815.84</v>
      </c>
      <c r="F15" s="92">
        <v>795.42</v>
      </c>
      <c r="G15" s="203">
        <f t="shared" si="0"/>
        <v>36.620000000000118</v>
      </c>
      <c r="H15" s="1120"/>
      <c r="I15" s="1121"/>
      <c r="J15" s="1121"/>
      <c r="K15" s="1121"/>
      <c r="L15" s="1122"/>
    </row>
    <row r="16" spans="1:18" ht="20.100000000000001" customHeight="1" x14ac:dyDescent="0.2">
      <c r="A16" s="194">
        <v>6</v>
      </c>
      <c r="B16" s="225" t="s">
        <v>397</v>
      </c>
      <c r="C16" s="92">
        <v>1764.75</v>
      </c>
      <c r="D16" s="92">
        <v>123.22</v>
      </c>
      <c r="E16" s="92">
        <v>1568.47</v>
      </c>
      <c r="F16" s="92">
        <v>1436.58</v>
      </c>
      <c r="G16" s="203">
        <f t="shared" si="0"/>
        <v>255.11000000000013</v>
      </c>
      <c r="H16" s="1120"/>
      <c r="I16" s="1121"/>
      <c r="J16" s="1121"/>
      <c r="K16" s="1121"/>
      <c r="L16" s="1122"/>
    </row>
    <row r="17" spans="1:16" ht="20.100000000000001" customHeight="1" x14ac:dyDescent="0.2">
      <c r="A17" s="194">
        <v>7</v>
      </c>
      <c r="B17" s="227" t="s">
        <v>398</v>
      </c>
      <c r="C17" s="203">
        <v>769.37</v>
      </c>
      <c r="D17" s="92">
        <v>9.3000000000000007</v>
      </c>
      <c r="E17" s="92">
        <v>718.56</v>
      </c>
      <c r="F17" s="92">
        <v>732.59</v>
      </c>
      <c r="G17" s="203">
        <f t="shared" si="0"/>
        <v>-4.7300000000001319</v>
      </c>
      <c r="H17" s="1120"/>
      <c r="I17" s="1121"/>
      <c r="J17" s="1121"/>
      <c r="K17" s="1121"/>
      <c r="L17" s="1122"/>
    </row>
    <row r="18" spans="1:16" ht="20.100000000000001" customHeight="1" x14ac:dyDescent="0.2">
      <c r="A18" s="194">
        <v>8</v>
      </c>
      <c r="B18" s="225" t="s">
        <v>399</v>
      </c>
      <c r="C18" s="92">
        <v>618.76</v>
      </c>
      <c r="D18" s="92">
        <v>73.75</v>
      </c>
      <c r="E18" s="92">
        <v>553.33000000000004</v>
      </c>
      <c r="F18" s="92">
        <v>545.41999999999996</v>
      </c>
      <c r="G18" s="203">
        <f t="shared" si="0"/>
        <v>81.660000000000082</v>
      </c>
      <c r="H18" s="1120"/>
      <c r="I18" s="1121"/>
      <c r="J18" s="1121"/>
      <c r="K18" s="1121"/>
      <c r="L18" s="1122"/>
    </row>
    <row r="19" spans="1:16" ht="20.100000000000001" customHeight="1" x14ac:dyDescent="0.2">
      <c r="A19" s="194">
        <v>9</v>
      </c>
      <c r="B19" s="225" t="s">
        <v>400</v>
      </c>
      <c r="C19" s="92">
        <v>462.86</v>
      </c>
      <c r="D19" s="92">
        <v>77.180000000000007</v>
      </c>
      <c r="E19" s="92">
        <v>399.53</v>
      </c>
      <c r="F19" s="92">
        <v>419.74</v>
      </c>
      <c r="G19" s="203">
        <f t="shared" si="0"/>
        <v>56.96999999999997</v>
      </c>
      <c r="H19" s="1120"/>
      <c r="I19" s="1121"/>
      <c r="J19" s="1121"/>
      <c r="K19" s="1121"/>
      <c r="L19" s="1122"/>
    </row>
    <row r="20" spans="1:16" ht="20.100000000000001" customHeight="1" x14ac:dyDescent="0.2">
      <c r="A20" s="194">
        <v>10</v>
      </c>
      <c r="B20" s="225" t="s">
        <v>401</v>
      </c>
      <c r="C20" s="92">
        <v>310.23</v>
      </c>
      <c r="D20" s="92">
        <v>50.73</v>
      </c>
      <c r="E20" s="92">
        <v>283.52</v>
      </c>
      <c r="F20" s="92">
        <v>284.22000000000003</v>
      </c>
      <c r="G20" s="203">
        <f t="shared" si="0"/>
        <v>50.029999999999973</v>
      </c>
      <c r="H20" s="1120"/>
      <c r="I20" s="1121"/>
      <c r="J20" s="1121"/>
      <c r="K20" s="1121"/>
      <c r="L20" s="1122"/>
      <c r="M20" s="851"/>
      <c r="N20" s="851"/>
      <c r="O20" s="851"/>
      <c r="P20" s="851"/>
    </row>
    <row r="21" spans="1:16" ht="20.100000000000001" customHeight="1" x14ac:dyDescent="0.2">
      <c r="A21" s="194">
        <v>11</v>
      </c>
      <c r="B21" s="225" t="s">
        <v>402</v>
      </c>
      <c r="C21" s="92">
        <v>751.65</v>
      </c>
      <c r="D21" s="92">
        <v>180.92</v>
      </c>
      <c r="E21" s="92">
        <v>670.91</v>
      </c>
      <c r="F21" s="92">
        <v>643.29</v>
      </c>
      <c r="G21" s="203">
        <f t="shared" si="0"/>
        <v>208.53999999999996</v>
      </c>
      <c r="H21" s="1120"/>
      <c r="I21" s="1121"/>
      <c r="J21" s="1121"/>
      <c r="K21" s="1121"/>
      <c r="L21" s="1122"/>
      <c r="M21" s="851"/>
      <c r="N21" s="851"/>
      <c r="O21" s="851"/>
      <c r="P21" s="851"/>
    </row>
    <row r="22" spans="1:16" ht="20.100000000000001" customHeight="1" x14ac:dyDescent="0.2">
      <c r="A22" s="194">
        <v>12</v>
      </c>
      <c r="B22" s="225" t="s">
        <v>403</v>
      </c>
      <c r="C22" s="92">
        <v>1472.36</v>
      </c>
      <c r="D22" s="92">
        <v>83.19</v>
      </c>
      <c r="E22" s="92">
        <v>1352.68</v>
      </c>
      <c r="F22" s="92">
        <v>1288.5</v>
      </c>
      <c r="G22" s="203">
        <f t="shared" si="0"/>
        <v>147.37000000000012</v>
      </c>
      <c r="H22" s="1120"/>
      <c r="I22" s="1121"/>
      <c r="J22" s="1121"/>
      <c r="K22" s="1121"/>
      <c r="L22" s="1122"/>
      <c r="M22" s="851"/>
      <c r="N22" s="851"/>
      <c r="O22" s="851"/>
      <c r="P22" s="851"/>
    </row>
    <row r="23" spans="1:16" ht="20.100000000000001" customHeight="1" x14ac:dyDescent="0.2">
      <c r="A23" s="194">
        <v>13</v>
      </c>
      <c r="B23" s="225" t="s">
        <v>404</v>
      </c>
      <c r="C23" s="92">
        <v>443.1</v>
      </c>
      <c r="D23" s="92">
        <v>95.78</v>
      </c>
      <c r="E23" s="92">
        <v>402.57</v>
      </c>
      <c r="F23" s="92">
        <v>388.77</v>
      </c>
      <c r="G23" s="203">
        <f>D23+E23-F23</f>
        <v>109.58000000000004</v>
      </c>
      <c r="H23" s="1120"/>
      <c r="I23" s="1121"/>
      <c r="J23" s="1121"/>
      <c r="K23" s="1121"/>
      <c r="L23" s="1122"/>
      <c r="M23" s="851"/>
      <c r="N23" s="851"/>
      <c r="O23" s="851"/>
      <c r="P23" s="851"/>
    </row>
    <row r="24" spans="1:16" ht="20.100000000000001" customHeight="1" x14ac:dyDescent="0.2">
      <c r="A24" s="194" t="s">
        <v>18</v>
      </c>
      <c r="B24" s="218"/>
      <c r="C24" s="204">
        <f>SUM(C11:C23)</f>
        <v>9187.4</v>
      </c>
      <c r="D24" s="204">
        <f>SUM(D11:D23)</f>
        <v>887.05</v>
      </c>
      <c r="E24" s="204">
        <f>SUM(E11:E23)</f>
        <v>8299.0399999999991</v>
      </c>
      <c r="F24" s="204">
        <f>SUM(F11:F23)</f>
        <v>8038.16</v>
      </c>
      <c r="G24" s="204">
        <f>(D24+E24-F24)-0.01</f>
        <v>1147.9199999999985</v>
      </c>
      <c r="H24" s="1123"/>
      <c r="I24" s="1124"/>
      <c r="J24" s="1124"/>
      <c r="K24" s="1124"/>
      <c r="L24" s="1125"/>
      <c r="M24" s="851"/>
      <c r="N24" s="851"/>
      <c r="O24" s="851"/>
      <c r="P24" s="851"/>
    </row>
    <row r="25" spans="1:16" ht="15.75" customHeight="1" x14ac:dyDescent="0.2">
      <c r="A25" s="15" t="s">
        <v>171</v>
      </c>
      <c r="B25" s="16"/>
      <c r="C25" s="16"/>
      <c r="D25" s="16"/>
      <c r="E25" s="16"/>
      <c r="F25" s="16"/>
      <c r="G25" s="16"/>
      <c r="H25" s="16"/>
      <c r="I25" s="16"/>
      <c r="J25" s="11"/>
      <c r="K25" s="11"/>
      <c r="L25" s="11"/>
      <c r="M25" s="851"/>
      <c r="N25" s="851"/>
      <c r="O25" s="851"/>
      <c r="P25" s="851"/>
    </row>
    <row r="26" spans="1:16" x14ac:dyDescent="0.2">
      <c r="A26" s="1086" t="s">
        <v>12</v>
      </c>
      <c r="B26" s="1086"/>
      <c r="C26" s="1086"/>
      <c r="D26" s="1086"/>
      <c r="E26" s="1086"/>
      <c r="F26" s="1086"/>
      <c r="G26" s="1086"/>
      <c r="H26" s="1086"/>
      <c r="I26" s="1086"/>
      <c r="J26" s="1086"/>
      <c r="K26" s="1086"/>
      <c r="L26" s="1086"/>
    </row>
    <row r="27" spans="1:16" x14ac:dyDescent="0.2">
      <c r="A27" s="1086" t="s">
        <v>13</v>
      </c>
      <c r="B27" s="1086"/>
      <c r="C27" s="1086"/>
      <c r="D27" s="1086"/>
      <c r="E27" s="1086"/>
      <c r="F27" s="1086"/>
      <c r="G27" s="1086"/>
      <c r="H27" s="1086"/>
      <c r="I27" s="1086"/>
      <c r="J27" s="1086"/>
      <c r="K27" s="1086"/>
      <c r="L27" s="1086"/>
    </row>
    <row r="28" spans="1:16" x14ac:dyDescent="0.2">
      <c r="A28" s="1086" t="s">
        <v>19</v>
      </c>
      <c r="B28" s="1086"/>
      <c r="C28" s="1086"/>
      <c r="D28" s="1086"/>
      <c r="E28" s="1086"/>
      <c r="F28" s="1086"/>
      <c r="G28" s="1086"/>
      <c r="H28" s="1086"/>
      <c r="I28" s="1086"/>
      <c r="J28" s="1086"/>
      <c r="K28" s="1086"/>
      <c r="L28" s="1086"/>
    </row>
    <row r="29" spans="1:16" x14ac:dyDescent="0.2">
      <c r="A29" s="11" t="s">
        <v>22</v>
      </c>
      <c r="B29" s="11"/>
      <c r="D29" s="11"/>
      <c r="E29" s="11"/>
      <c r="F29" s="11"/>
      <c r="J29" s="1000" t="s">
        <v>85</v>
      </c>
      <c r="K29" s="1000"/>
      <c r="L29" s="1000"/>
    </row>
    <row r="30" spans="1:16" x14ac:dyDescent="0.2">
      <c r="A30" s="11"/>
    </row>
    <row r="31" spans="1:16" x14ac:dyDescent="0.2">
      <c r="A31" s="1082"/>
      <c r="B31" s="1082"/>
      <c r="C31" s="1082"/>
      <c r="D31" s="1082"/>
      <c r="E31" s="1082"/>
      <c r="F31" s="1082"/>
      <c r="G31" s="1082"/>
      <c r="H31" s="1082"/>
      <c r="I31" s="1082"/>
      <c r="J31" s="1082"/>
      <c r="K31" s="1082"/>
      <c r="L31" s="1082"/>
    </row>
    <row r="32" spans="1:16" x14ac:dyDescent="0.2">
      <c r="C32" s="918">
        <f>C24-D24</f>
        <v>8300.35</v>
      </c>
      <c r="D32" s="141">
        <f>'T6A_FG_Upy_Utlsn '!D24</f>
        <v>968.2600000000001</v>
      </c>
      <c r="E32" s="141">
        <f>'T6A_FG_Upy_Utlsn '!E24</f>
        <v>8614.2000000000007</v>
      </c>
      <c r="F32" s="141">
        <f>'T6A_FG_Upy_Utlsn '!F24</f>
        <v>8323.25</v>
      </c>
      <c r="G32" s="141">
        <f>'T6A_FG_Upy_Utlsn '!G24</f>
        <v>1259.2099999999998</v>
      </c>
    </row>
    <row r="33" spans="4:7" x14ac:dyDescent="0.2">
      <c r="D33" s="918">
        <f>D24+D32</f>
        <v>1855.31</v>
      </c>
      <c r="E33" s="918">
        <f t="shared" ref="E33:G33" si="1">E24+E32</f>
        <v>16913.239999999998</v>
      </c>
      <c r="F33" s="918">
        <f t="shared" si="1"/>
        <v>16361.41</v>
      </c>
      <c r="G33" s="918">
        <f t="shared" si="1"/>
        <v>2407.1299999999983</v>
      </c>
    </row>
    <row r="34" spans="4:7" x14ac:dyDescent="0.2">
      <c r="F34" s="925">
        <f>F33/(D33+E33)</f>
        <v>0.87174608587237701</v>
      </c>
    </row>
  </sheetData>
  <mergeCells count="16">
    <mergeCell ref="A28:L28"/>
    <mergeCell ref="A31:L31"/>
    <mergeCell ref="A8:A9"/>
    <mergeCell ref="B8:B9"/>
    <mergeCell ref="A26:L26"/>
    <mergeCell ref="J29:L29"/>
    <mergeCell ref="A27:L27"/>
    <mergeCell ref="C8:G8"/>
    <mergeCell ref="H8:L8"/>
    <mergeCell ref="H11:L24"/>
    <mergeCell ref="L1:M1"/>
    <mergeCell ref="A3:L3"/>
    <mergeCell ref="A2:L2"/>
    <mergeCell ref="A4:L4"/>
    <mergeCell ref="I7:L7"/>
    <mergeCell ref="A6:C6"/>
  </mergeCells>
  <phoneticPr fontId="0" type="noConversion"/>
  <printOptions horizontalCentered="1"/>
  <pageMargins left="0.70866141732283472" right="0.70866141732283472" top="0.23622047244094491" bottom="0" header="0.31496062992125984" footer="0.31496062992125984"/>
  <pageSetup paperSize="9" orientation="landscape" r:id="rId1"/>
  <rowBreaks count="1" manualBreakCount="1">
    <brk id="3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00000"/>
    <pageSetUpPr fitToPage="1"/>
  </sheetPr>
  <dimension ref="A1:S32"/>
  <sheetViews>
    <sheetView view="pageBreakPreview" topLeftCell="A10" zoomScale="101" zoomScaleSheetLayoutView="101" workbookViewId="0">
      <selection activeCell="O18" sqref="O18"/>
    </sheetView>
  </sheetViews>
  <sheetFormatPr defaultRowHeight="12.75" x14ac:dyDescent="0.2"/>
  <cols>
    <col min="1" max="1" width="5.5703125" style="12" customWidth="1"/>
    <col min="2" max="2" width="13.28515625" style="12" customWidth="1"/>
    <col min="3" max="3" width="11.28515625" style="12" customWidth="1"/>
    <col min="4" max="4" width="9.85546875" style="12" customWidth="1"/>
    <col min="5" max="5" width="10.42578125" style="12" customWidth="1"/>
    <col min="6" max="6" width="12" style="12" customWidth="1"/>
    <col min="7" max="7" width="15.85546875" style="12" customWidth="1"/>
    <col min="8" max="8" width="12.42578125" style="12" customWidth="1"/>
    <col min="9" max="9" width="12.140625" style="12" customWidth="1"/>
    <col min="10" max="10" width="10.5703125" style="12" customWidth="1"/>
    <col min="11" max="11" width="13.140625" style="12" customWidth="1"/>
    <col min="12" max="12" width="14.7109375" style="12" customWidth="1"/>
    <col min="13" max="13" width="9.140625" style="12" hidden="1" customWidth="1"/>
    <col min="14" max="16384" width="9.140625" style="12"/>
  </cols>
  <sheetData>
    <row r="1" spans="1:19" customFormat="1" ht="15" x14ac:dyDescent="0.2">
      <c r="D1" s="24"/>
      <c r="E1" s="24"/>
      <c r="F1" s="24"/>
      <c r="G1" s="24"/>
      <c r="H1" s="24"/>
      <c r="I1" s="24"/>
      <c r="J1" s="24"/>
      <c r="K1" s="24"/>
      <c r="L1" s="1101" t="s">
        <v>74</v>
      </c>
      <c r="M1" s="1101"/>
      <c r="N1" s="1101"/>
      <c r="O1" s="32"/>
      <c r="P1" s="32"/>
    </row>
    <row r="2" spans="1:19" customFormat="1" ht="15" x14ac:dyDescent="0.2">
      <c r="A2" s="1080" t="s">
        <v>0</v>
      </c>
      <c r="B2" s="1080"/>
      <c r="C2" s="1080"/>
      <c r="D2" s="1080"/>
      <c r="E2" s="1080"/>
      <c r="F2" s="1080"/>
      <c r="G2" s="1080"/>
      <c r="H2" s="1080"/>
      <c r="I2" s="1080"/>
      <c r="J2" s="1080"/>
      <c r="K2" s="1080"/>
      <c r="L2" s="1080"/>
      <c r="M2" s="34"/>
      <c r="N2" s="34"/>
      <c r="O2" s="34"/>
      <c r="P2" s="34"/>
    </row>
    <row r="3" spans="1:19" customFormat="1" ht="15.75" x14ac:dyDescent="0.25">
      <c r="A3" s="1056" t="s">
        <v>794</v>
      </c>
      <c r="B3" s="1056"/>
      <c r="C3" s="1056"/>
      <c r="D3" s="1056"/>
      <c r="E3" s="1056"/>
      <c r="F3" s="1056"/>
      <c r="G3" s="1056"/>
      <c r="H3" s="1056"/>
      <c r="I3" s="1056"/>
      <c r="J3" s="1056"/>
      <c r="K3" s="1056"/>
      <c r="L3" s="1056"/>
      <c r="M3" s="70"/>
      <c r="N3" s="70"/>
      <c r="O3" s="70"/>
      <c r="P3" s="70"/>
      <c r="Q3" s="70"/>
    </row>
    <row r="4" spans="1:19" ht="19.5" customHeight="1" x14ac:dyDescent="0.25">
      <c r="A4" s="1085" t="s">
        <v>867</v>
      </c>
      <c r="B4" s="1085"/>
      <c r="C4" s="1085"/>
      <c r="D4" s="1085"/>
      <c r="E4" s="1085"/>
      <c r="F4" s="1085"/>
      <c r="G4" s="1085"/>
      <c r="H4" s="1085"/>
      <c r="I4" s="1085"/>
      <c r="J4" s="1085"/>
      <c r="K4" s="1085"/>
      <c r="L4" s="1085"/>
    </row>
    <row r="5" spans="1:19" x14ac:dyDescent="0.2">
      <c r="A5" s="17"/>
      <c r="B5" s="17"/>
      <c r="C5" s="17"/>
      <c r="D5" s="17"/>
      <c r="E5" s="17"/>
      <c r="F5" s="17"/>
      <c r="G5" s="17"/>
      <c r="H5" s="17"/>
      <c r="I5" s="17"/>
      <c r="J5" s="17"/>
      <c r="K5" s="17"/>
      <c r="L5" s="17"/>
    </row>
    <row r="6" spans="1:19" x14ac:dyDescent="0.2">
      <c r="A6" s="985" t="s">
        <v>463</v>
      </c>
      <c r="B6" s="985"/>
      <c r="C6" s="985"/>
      <c r="F6" s="1126" t="s">
        <v>20</v>
      </c>
      <c r="G6" s="1126"/>
      <c r="H6" s="1126"/>
      <c r="I6" s="1126"/>
      <c r="J6" s="1126"/>
      <c r="K6" s="1126"/>
      <c r="L6" s="1126"/>
    </row>
    <row r="7" spans="1:19" x14ac:dyDescent="0.2">
      <c r="A7" s="11"/>
      <c r="F7" s="13"/>
      <c r="G7" s="67"/>
      <c r="H7" s="67"/>
      <c r="I7" s="1088" t="s">
        <v>914</v>
      </c>
      <c r="J7" s="1088"/>
      <c r="K7" s="1088"/>
      <c r="L7" s="1088"/>
    </row>
    <row r="8" spans="1:19" s="11" customFormat="1" x14ac:dyDescent="0.2">
      <c r="A8" s="1064" t="s">
        <v>2</v>
      </c>
      <c r="B8" s="1064" t="s">
        <v>3</v>
      </c>
      <c r="C8" s="1064" t="s">
        <v>21</v>
      </c>
      <c r="D8" s="1064"/>
      <c r="E8" s="1064"/>
      <c r="F8" s="1064"/>
      <c r="G8" s="1064"/>
      <c r="H8" s="1064" t="s">
        <v>43</v>
      </c>
      <c r="I8" s="1064"/>
      <c r="J8" s="1064"/>
      <c r="K8" s="1064"/>
      <c r="L8" s="1064"/>
      <c r="R8" s="20"/>
      <c r="S8" s="20"/>
    </row>
    <row r="9" spans="1:19" s="11" customFormat="1" ht="77.45" customHeight="1" x14ac:dyDescent="0.2">
      <c r="A9" s="1064"/>
      <c r="B9" s="1064"/>
      <c r="C9" s="777" t="s">
        <v>820</v>
      </c>
      <c r="D9" s="777" t="s">
        <v>821</v>
      </c>
      <c r="E9" s="195" t="s">
        <v>72</v>
      </c>
      <c r="F9" s="195" t="s">
        <v>73</v>
      </c>
      <c r="G9" s="777" t="s">
        <v>865</v>
      </c>
      <c r="H9" s="777" t="s">
        <v>820</v>
      </c>
      <c r="I9" s="777" t="s">
        <v>821</v>
      </c>
      <c r="J9" s="195" t="s">
        <v>72</v>
      </c>
      <c r="K9" s="195" t="s">
        <v>73</v>
      </c>
      <c r="L9" s="777" t="s">
        <v>866</v>
      </c>
    </row>
    <row r="10" spans="1:19" s="11" customFormat="1" x14ac:dyDescent="0.2">
      <c r="A10" s="195">
        <v>1</v>
      </c>
      <c r="B10" s="195">
        <v>2</v>
      </c>
      <c r="C10" s="195">
        <v>3</v>
      </c>
      <c r="D10" s="195">
        <v>4</v>
      </c>
      <c r="E10" s="195">
        <v>5</v>
      </c>
      <c r="F10" s="195">
        <v>6</v>
      </c>
      <c r="G10" s="195">
        <v>7</v>
      </c>
      <c r="H10" s="195">
        <v>8</v>
      </c>
      <c r="I10" s="195">
        <v>9</v>
      </c>
      <c r="J10" s="195">
        <v>10</v>
      </c>
      <c r="K10" s="195">
        <v>11</v>
      </c>
      <c r="L10" s="195">
        <v>12</v>
      </c>
    </row>
    <row r="11" spans="1:19" ht="20.100000000000001" customHeight="1" x14ac:dyDescent="0.2">
      <c r="A11" s="194">
        <v>1</v>
      </c>
      <c r="B11" s="225" t="s">
        <v>392</v>
      </c>
      <c r="C11" s="92">
        <v>825.47</v>
      </c>
      <c r="D11" s="203">
        <v>65.599999999999994</v>
      </c>
      <c r="E11" s="92">
        <v>727.49</v>
      </c>
      <c r="F11" s="203">
        <v>664.48</v>
      </c>
      <c r="G11" s="203">
        <f>D11+E11-F11</f>
        <v>128.61000000000001</v>
      </c>
      <c r="H11" s="1072" t="s">
        <v>405</v>
      </c>
      <c r="I11" s="1076"/>
      <c r="J11" s="1076"/>
      <c r="K11" s="1076"/>
      <c r="L11" s="1076"/>
      <c r="O11" s="11"/>
      <c r="P11" s="11"/>
      <c r="Q11" s="11"/>
    </row>
    <row r="12" spans="1:19" ht="20.100000000000001" customHeight="1" x14ac:dyDescent="0.2">
      <c r="A12" s="194">
        <v>2</v>
      </c>
      <c r="B12" s="225" t="s">
        <v>393</v>
      </c>
      <c r="C12" s="92">
        <v>354.4</v>
      </c>
      <c r="D12" s="203">
        <v>61.43</v>
      </c>
      <c r="E12" s="203">
        <v>319.13</v>
      </c>
      <c r="F12" s="203">
        <v>306.33</v>
      </c>
      <c r="G12" s="203">
        <f t="shared" ref="G12:G23" si="0">D12+E12-F12</f>
        <v>74.230000000000018</v>
      </c>
      <c r="H12" s="1076"/>
      <c r="I12" s="1076"/>
      <c r="J12" s="1076"/>
      <c r="K12" s="1076"/>
      <c r="L12" s="1076"/>
      <c r="O12" s="11"/>
      <c r="P12" s="11"/>
      <c r="Q12" s="11"/>
    </row>
    <row r="13" spans="1:19" ht="20.100000000000001" customHeight="1" x14ac:dyDescent="0.2">
      <c r="A13" s="194">
        <v>3</v>
      </c>
      <c r="B13" s="225" t="s">
        <v>394</v>
      </c>
      <c r="C13" s="92">
        <v>556.11</v>
      </c>
      <c r="D13" s="203">
        <v>107.35</v>
      </c>
      <c r="E13" s="92">
        <v>500.71</v>
      </c>
      <c r="F13" s="203">
        <v>472.23</v>
      </c>
      <c r="G13" s="203">
        <f t="shared" si="0"/>
        <v>135.82999999999993</v>
      </c>
      <c r="H13" s="1076"/>
      <c r="I13" s="1076"/>
      <c r="J13" s="1076"/>
      <c r="K13" s="1076"/>
      <c r="L13" s="1076"/>
      <c r="O13" s="11"/>
      <c r="P13" s="11"/>
      <c r="Q13" s="11"/>
    </row>
    <row r="14" spans="1:19" ht="20.100000000000001" customHeight="1" x14ac:dyDescent="0.2">
      <c r="A14" s="194">
        <v>4</v>
      </c>
      <c r="B14" s="225" t="s">
        <v>395</v>
      </c>
      <c r="C14" s="92">
        <v>343.91</v>
      </c>
      <c r="D14" s="203">
        <v>24.8</v>
      </c>
      <c r="E14" s="92">
        <v>308.11</v>
      </c>
      <c r="F14" s="203">
        <v>291.60000000000002</v>
      </c>
      <c r="G14" s="203">
        <f t="shared" si="0"/>
        <v>41.31</v>
      </c>
      <c r="H14" s="1076"/>
      <c r="I14" s="1076"/>
      <c r="J14" s="1076"/>
      <c r="K14" s="1076"/>
      <c r="L14" s="1076"/>
      <c r="O14" s="11"/>
      <c r="P14" s="11"/>
      <c r="Q14" s="11"/>
    </row>
    <row r="15" spans="1:19" ht="20.100000000000001" customHeight="1" x14ac:dyDescent="0.2">
      <c r="A15" s="194">
        <v>5</v>
      </c>
      <c r="B15" s="227" t="s">
        <v>396</v>
      </c>
      <c r="C15" s="92">
        <v>961.63</v>
      </c>
      <c r="D15" s="203">
        <v>118.65</v>
      </c>
      <c r="E15" s="92">
        <v>884.09</v>
      </c>
      <c r="F15" s="203">
        <v>828.9</v>
      </c>
      <c r="G15" s="203">
        <f t="shared" si="0"/>
        <v>173.84000000000003</v>
      </c>
      <c r="H15" s="1076"/>
      <c r="I15" s="1076"/>
      <c r="J15" s="1076"/>
      <c r="K15" s="1076"/>
      <c r="L15" s="1076"/>
      <c r="O15" s="11"/>
      <c r="P15" s="11"/>
      <c r="Q15" s="11"/>
    </row>
    <row r="16" spans="1:19" ht="20.100000000000001" customHeight="1" x14ac:dyDescent="0.2">
      <c r="A16" s="194">
        <v>6</v>
      </c>
      <c r="B16" s="225" t="s">
        <v>397</v>
      </c>
      <c r="C16" s="92">
        <v>1239.45</v>
      </c>
      <c r="D16" s="203">
        <v>167.6</v>
      </c>
      <c r="E16" s="92">
        <v>1094.03</v>
      </c>
      <c r="F16" s="203">
        <v>1035.46</v>
      </c>
      <c r="G16" s="203">
        <f t="shared" si="0"/>
        <v>226.16999999999985</v>
      </c>
      <c r="H16" s="1076"/>
      <c r="I16" s="1076"/>
      <c r="J16" s="1076"/>
      <c r="K16" s="1076"/>
      <c r="L16" s="1076"/>
    </row>
    <row r="17" spans="1:15" ht="20.100000000000001" customHeight="1" x14ac:dyDescent="0.2">
      <c r="A17" s="194">
        <v>7</v>
      </c>
      <c r="B17" s="227" t="s">
        <v>398</v>
      </c>
      <c r="C17" s="92">
        <v>870.48</v>
      </c>
      <c r="D17" s="203">
        <v>11.08</v>
      </c>
      <c r="E17" s="92">
        <v>813.73</v>
      </c>
      <c r="F17" s="203">
        <v>866.87</v>
      </c>
      <c r="G17" s="203">
        <f t="shared" si="0"/>
        <v>-42.059999999999945</v>
      </c>
      <c r="H17" s="1076"/>
      <c r="I17" s="1076"/>
      <c r="J17" s="1076"/>
      <c r="K17" s="1076"/>
      <c r="L17" s="1076"/>
      <c r="O17" s="12">
        <v>151.37</v>
      </c>
    </row>
    <row r="18" spans="1:15" ht="20.100000000000001" customHeight="1" x14ac:dyDescent="0.2">
      <c r="A18" s="194">
        <v>8</v>
      </c>
      <c r="B18" s="225" t="s">
        <v>399</v>
      </c>
      <c r="C18" s="203">
        <v>831.87</v>
      </c>
      <c r="D18" s="203">
        <v>2.37</v>
      </c>
      <c r="E18" s="92">
        <v>720.45</v>
      </c>
      <c r="F18" s="203">
        <v>696.93</v>
      </c>
      <c r="G18" s="203">
        <f t="shared" si="0"/>
        <v>25.8900000000001</v>
      </c>
      <c r="H18" s="1076"/>
      <c r="I18" s="1076"/>
      <c r="J18" s="1076"/>
      <c r="K18" s="1076"/>
      <c r="L18" s="1076"/>
    </row>
    <row r="19" spans="1:15" ht="20.100000000000001" customHeight="1" x14ac:dyDescent="0.2">
      <c r="A19" s="194">
        <v>9</v>
      </c>
      <c r="B19" s="225" t="s">
        <v>400</v>
      </c>
      <c r="C19" s="92">
        <v>556.57000000000005</v>
      </c>
      <c r="D19" s="203">
        <v>100.66</v>
      </c>
      <c r="E19" s="92">
        <v>495.65</v>
      </c>
      <c r="F19" s="203">
        <v>478.38</v>
      </c>
      <c r="G19" s="203">
        <f t="shared" si="0"/>
        <v>117.92999999999995</v>
      </c>
      <c r="H19" s="1076"/>
      <c r="I19" s="1076"/>
      <c r="J19" s="1076"/>
      <c r="K19" s="1076"/>
      <c r="L19" s="1076"/>
      <c r="O19" s="12">
        <v>176.02</v>
      </c>
    </row>
    <row r="20" spans="1:15" ht="20.100000000000001" customHeight="1" x14ac:dyDescent="0.2">
      <c r="A20" s="194">
        <v>10</v>
      </c>
      <c r="B20" s="225" t="s">
        <v>401</v>
      </c>
      <c r="C20" s="92">
        <v>379.82</v>
      </c>
      <c r="D20" s="203">
        <v>21.74</v>
      </c>
      <c r="E20" s="92">
        <v>367.35</v>
      </c>
      <c r="F20" s="203">
        <v>366.66</v>
      </c>
      <c r="G20" s="203">
        <f t="shared" si="0"/>
        <v>22.430000000000007</v>
      </c>
      <c r="H20" s="1076"/>
      <c r="I20" s="1076"/>
      <c r="J20" s="1076"/>
      <c r="K20" s="1076"/>
      <c r="L20" s="1076"/>
      <c r="O20" s="902">
        <v>218.25</v>
      </c>
    </row>
    <row r="21" spans="1:15" ht="20.100000000000001" customHeight="1" x14ac:dyDescent="0.2">
      <c r="A21" s="194">
        <v>11</v>
      </c>
      <c r="B21" s="225" t="s">
        <v>402</v>
      </c>
      <c r="C21" s="92">
        <v>904.93</v>
      </c>
      <c r="D21" s="203">
        <v>92.65</v>
      </c>
      <c r="E21" s="203">
        <v>807.96</v>
      </c>
      <c r="F21" s="203">
        <v>784.57</v>
      </c>
      <c r="G21" s="203">
        <f t="shared" si="0"/>
        <v>116.03999999999996</v>
      </c>
      <c r="H21" s="1076"/>
      <c r="I21" s="1076"/>
      <c r="J21" s="1076"/>
      <c r="K21" s="1076"/>
      <c r="L21" s="1076"/>
      <c r="O21" s="12">
        <f>SUM(O17:O20)</f>
        <v>545.64</v>
      </c>
    </row>
    <row r="22" spans="1:15" ht="20.100000000000001" customHeight="1" x14ac:dyDescent="0.2">
      <c r="A22" s="194">
        <v>12</v>
      </c>
      <c r="B22" s="225" t="s">
        <v>403</v>
      </c>
      <c r="C22" s="92">
        <v>1344.89</v>
      </c>
      <c r="D22" s="203">
        <v>185.68</v>
      </c>
      <c r="E22" s="92">
        <v>1197.52</v>
      </c>
      <c r="F22" s="203">
        <v>1146.6400000000001</v>
      </c>
      <c r="G22" s="203">
        <f t="shared" si="0"/>
        <v>236.55999999999995</v>
      </c>
      <c r="H22" s="1076"/>
      <c r="I22" s="1076"/>
      <c r="J22" s="1076"/>
      <c r="K22" s="1076"/>
      <c r="L22" s="1076"/>
    </row>
    <row r="23" spans="1:15" ht="20.100000000000001" customHeight="1" x14ac:dyDescent="0.2">
      <c r="A23" s="194">
        <v>13</v>
      </c>
      <c r="B23" s="225" t="s">
        <v>404</v>
      </c>
      <c r="C23" s="92">
        <v>417.21</v>
      </c>
      <c r="D23" s="203">
        <v>8.65</v>
      </c>
      <c r="E23" s="92">
        <v>377.98</v>
      </c>
      <c r="F23" s="203">
        <v>384.2</v>
      </c>
      <c r="G23" s="203">
        <f t="shared" si="0"/>
        <v>2.4300000000000068</v>
      </c>
      <c r="H23" s="1076"/>
      <c r="I23" s="1076"/>
      <c r="J23" s="1076"/>
      <c r="K23" s="1076"/>
      <c r="L23" s="1076"/>
    </row>
    <row r="24" spans="1:15" s="11" customFormat="1" ht="20.100000000000001" customHeight="1" x14ac:dyDescent="0.2">
      <c r="A24" s="1093" t="s">
        <v>18</v>
      </c>
      <c r="B24" s="1084"/>
      <c r="C24" s="204">
        <f>SUM(C11:C23)</f>
        <v>9586.74</v>
      </c>
      <c r="D24" s="204">
        <f>SUM(D11:D23)</f>
        <v>968.2600000000001</v>
      </c>
      <c r="E24" s="204">
        <f>SUM(E11:E23)</f>
        <v>8614.2000000000007</v>
      </c>
      <c r="F24" s="204">
        <f>SUM(F11:F23)</f>
        <v>8323.25</v>
      </c>
      <c r="G24" s="204">
        <f>SUM(G11:G23)</f>
        <v>1259.2099999999998</v>
      </c>
      <c r="H24" s="1076"/>
      <c r="I24" s="1076"/>
      <c r="J24" s="1076"/>
      <c r="K24" s="1076"/>
      <c r="L24" s="1076"/>
    </row>
    <row r="25" spans="1:15" ht="15.75" customHeight="1" x14ac:dyDescent="0.2">
      <c r="A25" s="15" t="s">
        <v>171</v>
      </c>
      <c r="B25" s="16"/>
      <c r="C25" s="16"/>
      <c r="D25" s="16"/>
      <c r="E25" s="16"/>
      <c r="F25" s="16"/>
      <c r="G25" s="16"/>
      <c r="H25" s="16"/>
      <c r="I25" s="16"/>
      <c r="J25" s="11"/>
      <c r="K25" s="11"/>
      <c r="L25" s="11"/>
    </row>
    <row r="26" spans="1:15" ht="15.75" customHeight="1" x14ac:dyDescent="0.2">
      <c r="A26" s="11"/>
      <c r="B26" s="11"/>
      <c r="C26" s="11"/>
      <c r="D26" s="11"/>
      <c r="E26" s="11"/>
      <c r="F26" s="11"/>
      <c r="G26" s="11"/>
      <c r="H26" s="11"/>
      <c r="I26" s="11"/>
      <c r="J26" s="11"/>
      <c r="K26" s="11"/>
      <c r="L26" s="11"/>
    </row>
    <row r="27" spans="1:15" ht="14.25" customHeight="1" x14ac:dyDescent="0.2">
      <c r="A27" s="1086" t="s">
        <v>12</v>
      </c>
      <c r="B27" s="1086"/>
      <c r="C27" s="1086"/>
      <c r="D27" s="1086"/>
      <c r="E27" s="1086"/>
      <c r="F27" s="1086"/>
      <c r="G27" s="1086"/>
      <c r="H27" s="1086"/>
      <c r="I27" s="1086"/>
      <c r="J27" s="1086"/>
      <c r="K27" s="1086"/>
      <c r="L27" s="1086"/>
    </row>
    <row r="28" spans="1:15" x14ac:dyDescent="0.2">
      <c r="A28" s="1086" t="s">
        <v>13</v>
      </c>
      <c r="B28" s="1086"/>
      <c r="C28" s="1086"/>
      <c r="D28" s="1086"/>
      <c r="E28" s="1086"/>
      <c r="F28" s="1086"/>
      <c r="G28" s="1086"/>
      <c r="H28" s="1086"/>
      <c r="I28" s="1086"/>
      <c r="J28" s="1086"/>
      <c r="K28" s="1086"/>
      <c r="L28" s="1086"/>
    </row>
    <row r="29" spans="1:15" x14ac:dyDescent="0.2">
      <c r="A29" s="1086" t="s">
        <v>19</v>
      </c>
      <c r="B29" s="1086"/>
      <c r="C29" s="1086"/>
      <c r="D29" s="1086"/>
      <c r="E29" s="1086"/>
      <c r="F29" s="1086"/>
      <c r="G29" s="1086"/>
      <c r="H29" s="1086"/>
      <c r="I29" s="1086"/>
      <c r="J29" s="1086"/>
      <c r="K29" s="1086"/>
      <c r="L29" s="1086"/>
    </row>
    <row r="30" spans="1:15" x14ac:dyDescent="0.2">
      <c r="A30" s="11" t="s">
        <v>22</v>
      </c>
      <c r="B30" s="11"/>
      <c r="C30" s="918">
        <f>C24-D24</f>
        <v>8618.48</v>
      </c>
      <c r="D30" s="11"/>
      <c r="E30" s="11"/>
      <c r="F30" s="11"/>
      <c r="J30" s="1000" t="s">
        <v>85</v>
      </c>
      <c r="K30" s="1000"/>
      <c r="L30" s="1000"/>
      <c r="M30" s="1000"/>
    </row>
    <row r="31" spans="1:15" x14ac:dyDescent="0.2">
      <c r="A31" s="11"/>
    </row>
    <row r="32" spans="1:15" x14ac:dyDescent="0.2">
      <c r="A32" s="1082"/>
      <c r="B32" s="1082"/>
      <c r="C32" s="1082"/>
      <c r="D32" s="1082"/>
      <c r="E32" s="1082"/>
      <c r="F32" s="1082"/>
      <c r="G32" s="1082"/>
      <c r="H32" s="1082"/>
      <c r="I32" s="1082"/>
      <c r="J32" s="1082"/>
      <c r="K32" s="1082"/>
      <c r="L32" s="1082"/>
    </row>
  </sheetData>
  <mergeCells count="18">
    <mergeCell ref="I7:L7"/>
    <mergeCell ref="A29:L29"/>
    <mergeCell ref="F6:L6"/>
    <mergeCell ref="L1:N1"/>
    <mergeCell ref="A2:L2"/>
    <mergeCell ref="A3:L3"/>
    <mergeCell ref="A4:L4"/>
    <mergeCell ref="A6:C6"/>
    <mergeCell ref="A32:L32"/>
    <mergeCell ref="A8:A9"/>
    <mergeCell ref="B8:B9"/>
    <mergeCell ref="C8:G8"/>
    <mergeCell ref="H8:L8"/>
    <mergeCell ref="A27:L27"/>
    <mergeCell ref="A28:L28"/>
    <mergeCell ref="J30:M30"/>
    <mergeCell ref="H11:L24"/>
    <mergeCell ref="A24:B24"/>
  </mergeCells>
  <phoneticPr fontId="0" type="noConversion"/>
  <printOptions horizontalCentered="1"/>
  <pageMargins left="0.49" right="0.35" top="0.23622047244094491" bottom="0" header="0.31496062992125984" footer="0.31496062992125984"/>
  <pageSetup paperSize="9" orientation="landscape" r:id="rId1"/>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J23"/>
  <sheetViews>
    <sheetView view="pageBreakPreview" zoomScale="112" zoomScaleSheetLayoutView="112" workbookViewId="0">
      <selection activeCell="N16" sqref="N16"/>
    </sheetView>
  </sheetViews>
  <sheetFormatPr defaultRowHeight="12.75" x14ac:dyDescent="0.2"/>
  <sheetData>
    <row r="2" spans="2:10" x14ac:dyDescent="0.2">
      <c r="B2" s="11"/>
    </row>
    <row r="4" spans="2:10" ht="12.75" customHeight="1" x14ac:dyDescent="0.2"/>
    <row r="5" spans="2:10" ht="12.75" customHeight="1" x14ac:dyDescent="0.2"/>
    <row r="6" spans="2:10" ht="12.75" customHeight="1" x14ac:dyDescent="0.2"/>
    <row r="7" spans="2:10" ht="12.75" customHeight="1" x14ac:dyDescent="0.2"/>
    <row r="8" spans="2:10" ht="12.75" customHeight="1" x14ac:dyDescent="0.2"/>
    <row r="9" spans="2:10" ht="12.75" customHeight="1" x14ac:dyDescent="0.2"/>
    <row r="10" spans="2:10" ht="12.75" customHeight="1" x14ac:dyDescent="0.2"/>
    <row r="11" spans="2:10" ht="12.75" customHeight="1" x14ac:dyDescent="0.2"/>
    <row r="12" spans="2:10" ht="12.75" customHeight="1" x14ac:dyDescent="0.2"/>
    <row r="13" spans="2:10" ht="12.75" customHeight="1" x14ac:dyDescent="0.2"/>
    <row r="14" spans="2:10" x14ac:dyDescent="0.2">
      <c r="D14" s="947" t="s">
        <v>792</v>
      </c>
      <c r="E14" s="947"/>
      <c r="F14" s="947"/>
      <c r="G14" s="947"/>
      <c r="H14" s="947"/>
      <c r="I14" s="947"/>
      <c r="J14" s="947"/>
    </row>
    <row r="15" spans="2:10" x14ac:dyDescent="0.2">
      <c r="D15" s="947"/>
      <c r="E15" s="947"/>
      <c r="F15" s="947"/>
      <c r="G15" s="947"/>
      <c r="H15" s="947"/>
      <c r="I15" s="947"/>
      <c r="J15" s="947"/>
    </row>
    <row r="16" spans="2:10" x14ac:dyDescent="0.2">
      <c r="D16" s="947"/>
      <c r="E16" s="947"/>
      <c r="F16" s="947"/>
      <c r="G16" s="947"/>
      <c r="H16" s="947"/>
      <c r="I16" s="947"/>
      <c r="J16" s="947"/>
    </row>
    <row r="17" spans="4:10" x14ac:dyDescent="0.2">
      <c r="D17" s="947"/>
      <c r="E17" s="947"/>
      <c r="F17" s="947"/>
      <c r="G17" s="947"/>
      <c r="H17" s="947"/>
      <c r="I17" s="947"/>
      <c r="J17" s="947"/>
    </row>
    <row r="18" spans="4:10" x14ac:dyDescent="0.2">
      <c r="D18" s="947"/>
      <c r="E18" s="947"/>
      <c r="F18" s="947"/>
      <c r="G18" s="947"/>
      <c r="H18" s="947"/>
      <c r="I18" s="947"/>
      <c r="J18" s="947"/>
    </row>
    <row r="19" spans="4:10" x14ac:dyDescent="0.2">
      <c r="D19" s="947"/>
      <c r="E19" s="947"/>
      <c r="F19" s="947"/>
      <c r="G19" s="947"/>
      <c r="H19" s="947"/>
      <c r="I19" s="947"/>
      <c r="J19" s="947"/>
    </row>
    <row r="20" spans="4:10" x14ac:dyDescent="0.2">
      <c r="D20" s="947"/>
      <c r="E20" s="947"/>
      <c r="F20" s="947"/>
      <c r="G20" s="947"/>
      <c r="H20" s="947"/>
      <c r="I20" s="947"/>
      <c r="J20" s="947"/>
    </row>
    <row r="21" spans="4:10" x14ac:dyDescent="0.2">
      <c r="D21" s="947"/>
      <c r="E21" s="947"/>
      <c r="F21" s="947"/>
      <c r="G21" s="947"/>
      <c r="H21" s="947"/>
      <c r="I21" s="947"/>
      <c r="J21" s="947"/>
    </row>
    <row r="22" spans="4:10" x14ac:dyDescent="0.2">
      <c r="D22" s="947"/>
      <c r="E22" s="947"/>
      <c r="F22" s="947"/>
      <c r="G22" s="947"/>
      <c r="H22" s="947"/>
      <c r="I22" s="947"/>
      <c r="J22" s="947"/>
    </row>
    <row r="23" spans="4:10" x14ac:dyDescent="0.2">
      <c r="D23" s="947"/>
      <c r="E23" s="947"/>
      <c r="F23" s="947"/>
      <c r="G23" s="947"/>
      <c r="H23" s="947"/>
      <c r="I23" s="947"/>
      <c r="J23" s="947"/>
    </row>
  </sheetData>
  <mergeCells count="1">
    <mergeCell ref="D14:J23"/>
  </mergeCells>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00000"/>
    <pageSetUpPr fitToPage="1"/>
  </sheetPr>
  <dimension ref="A2:S37"/>
  <sheetViews>
    <sheetView view="pageBreakPreview" zoomScaleSheetLayoutView="100" workbookViewId="0">
      <selection activeCell="C1" sqref="C1"/>
    </sheetView>
  </sheetViews>
  <sheetFormatPr defaultRowHeight="12.75" x14ac:dyDescent="0.2"/>
  <cols>
    <col min="1" max="1" width="5.7109375" style="87" customWidth="1"/>
    <col min="2" max="2" width="13.42578125" style="87" customWidth="1"/>
    <col min="3" max="3" width="13" style="87" customWidth="1"/>
    <col min="4" max="4" width="12" style="87" customWidth="1"/>
    <col min="5" max="5" width="12.42578125" style="87" customWidth="1"/>
    <col min="6" max="6" width="14.42578125" style="87" customWidth="1"/>
    <col min="7" max="7" width="14.7109375" style="87" customWidth="1"/>
    <col min="8" max="8" width="13.5703125" style="87" customWidth="1"/>
    <col min="9" max="10" width="12.42578125" style="87" customWidth="1"/>
    <col min="11" max="11" width="15.85546875" style="87" customWidth="1"/>
    <col min="12" max="12" width="13.140625" style="87" customWidth="1"/>
    <col min="13" max="13" width="15.85546875" style="87" customWidth="1"/>
    <col min="14" max="16384" width="9.140625" style="87"/>
  </cols>
  <sheetData>
    <row r="2" spans="1:19" x14ac:dyDescent="0.2">
      <c r="K2" s="1083" t="s">
        <v>230</v>
      </c>
      <c r="L2" s="1083"/>
      <c r="M2" s="1083"/>
    </row>
    <row r="3" spans="1:19" ht="12.75" customHeight="1" x14ac:dyDescent="0.2"/>
    <row r="4" spans="1:19" ht="15.75" x14ac:dyDescent="0.25">
      <c r="A4" s="1133" t="s">
        <v>0</v>
      </c>
      <c r="B4" s="1133"/>
      <c r="C4" s="1133"/>
      <c r="D4" s="1133"/>
      <c r="E4" s="1133"/>
      <c r="F4" s="1133"/>
      <c r="G4" s="1133"/>
      <c r="H4" s="1133"/>
      <c r="I4" s="1133"/>
      <c r="J4" s="1133"/>
      <c r="K4" s="1133"/>
      <c r="L4" s="1133"/>
      <c r="M4" s="1133"/>
    </row>
    <row r="5" spans="1:19" ht="15.75" x14ac:dyDescent="0.25">
      <c r="A5" s="1056" t="s">
        <v>794</v>
      </c>
      <c r="B5" s="1056"/>
      <c r="C5" s="1056"/>
      <c r="D5" s="1056"/>
      <c r="E5" s="1056"/>
      <c r="F5" s="1056"/>
      <c r="G5" s="1056"/>
      <c r="H5" s="1056"/>
      <c r="I5" s="1056"/>
      <c r="J5" s="1056"/>
      <c r="K5" s="1056"/>
      <c r="L5" s="1056"/>
      <c r="M5" s="1056"/>
      <c r="N5" s="70"/>
      <c r="O5" s="70"/>
      <c r="P5" s="70"/>
      <c r="Q5" s="70"/>
      <c r="R5" s="70"/>
      <c r="S5" s="70"/>
    </row>
    <row r="6" spans="1:19" ht="10.5" customHeight="1" x14ac:dyDescent="0.2"/>
    <row r="7" spans="1:19" ht="18" x14ac:dyDescent="0.25">
      <c r="A7" s="1127" t="s">
        <v>868</v>
      </c>
      <c r="B7" s="1127"/>
      <c r="C7" s="1127"/>
      <c r="D7" s="1127"/>
      <c r="E7" s="1127"/>
      <c r="F7" s="1127"/>
      <c r="G7" s="1127"/>
      <c r="H7" s="1127"/>
      <c r="I7" s="1127"/>
      <c r="J7" s="1127"/>
      <c r="K7" s="1127"/>
      <c r="L7" s="1127"/>
      <c r="M7" s="1127"/>
    </row>
    <row r="8" spans="1:19" ht="15.75" x14ac:dyDescent="0.25">
      <c r="B8" s="88"/>
      <c r="C8" s="88"/>
      <c r="D8" s="88"/>
      <c r="E8" s="88"/>
      <c r="F8" s="88"/>
      <c r="G8" s="88"/>
      <c r="H8" s="88"/>
      <c r="L8" s="1129" t="s">
        <v>205</v>
      </c>
      <c r="M8" s="1129"/>
    </row>
    <row r="9" spans="1:19" x14ac:dyDescent="0.2">
      <c r="A9" s="1068" t="s">
        <v>463</v>
      </c>
      <c r="B9" s="1068"/>
      <c r="C9" s="1068"/>
      <c r="D9" s="479"/>
      <c r="E9" s="479"/>
      <c r="F9" s="479"/>
      <c r="G9" s="480"/>
      <c r="H9" s="481"/>
      <c r="I9" s="481"/>
      <c r="J9" s="481"/>
      <c r="K9" s="1058" t="s">
        <v>914</v>
      </c>
      <c r="L9" s="1058"/>
      <c r="M9" s="1058"/>
    </row>
    <row r="10" spans="1:19" ht="15.75" customHeight="1" x14ac:dyDescent="0.2">
      <c r="A10" s="1128" t="s">
        <v>25</v>
      </c>
      <c r="B10" s="1128" t="s">
        <v>3</v>
      </c>
      <c r="C10" s="1128" t="s">
        <v>845</v>
      </c>
      <c r="D10" s="1128" t="s">
        <v>821</v>
      </c>
      <c r="E10" s="1128" t="s">
        <v>246</v>
      </c>
      <c r="F10" s="1128" t="s">
        <v>771</v>
      </c>
      <c r="G10" s="1128"/>
      <c r="H10" s="1128" t="s">
        <v>202</v>
      </c>
      <c r="I10" s="1128"/>
      <c r="J10" s="1130" t="s">
        <v>585</v>
      </c>
      <c r="K10" s="1128" t="s">
        <v>204</v>
      </c>
      <c r="L10" s="1128" t="s">
        <v>264</v>
      </c>
      <c r="M10" s="1128" t="s">
        <v>263</v>
      </c>
    </row>
    <row r="11" spans="1:19" x14ac:dyDescent="0.2">
      <c r="A11" s="1128"/>
      <c r="B11" s="1128"/>
      <c r="C11" s="1128"/>
      <c r="D11" s="1128"/>
      <c r="E11" s="1128"/>
      <c r="F11" s="1128"/>
      <c r="G11" s="1128"/>
      <c r="H11" s="1128"/>
      <c r="I11" s="1128"/>
      <c r="J11" s="1131"/>
      <c r="K11" s="1128"/>
      <c r="L11" s="1128"/>
      <c r="M11" s="1128"/>
    </row>
    <row r="12" spans="1:19" ht="41.25" customHeight="1" x14ac:dyDescent="0.2">
      <c r="A12" s="1128"/>
      <c r="B12" s="1128"/>
      <c r="C12" s="1128"/>
      <c r="D12" s="1128"/>
      <c r="E12" s="1128"/>
      <c r="F12" s="912" t="s">
        <v>203</v>
      </c>
      <c r="G12" s="912" t="s">
        <v>265</v>
      </c>
      <c r="H12" s="912" t="s">
        <v>203</v>
      </c>
      <c r="I12" s="912" t="s">
        <v>265</v>
      </c>
      <c r="J12" s="1132"/>
      <c r="K12" s="1128"/>
      <c r="L12" s="1128"/>
      <c r="M12" s="1128"/>
    </row>
    <row r="13" spans="1:19" x14ac:dyDescent="0.2">
      <c r="A13" s="251">
        <v>1</v>
      </c>
      <c r="B13" s="251">
        <v>2</v>
      </c>
      <c r="C13" s="251">
        <v>3</v>
      </c>
      <c r="D13" s="251">
        <v>4</v>
      </c>
      <c r="E13" s="251">
        <v>5</v>
      </c>
      <c r="F13" s="251">
        <v>6</v>
      </c>
      <c r="G13" s="251">
        <v>7</v>
      </c>
      <c r="H13" s="251">
        <v>8</v>
      </c>
      <c r="I13" s="251">
        <v>9</v>
      </c>
      <c r="J13" s="251">
        <v>10</v>
      </c>
      <c r="K13" s="251">
        <v>11</v>
      </c>
      <c r="L13" s="233">
        <v>12</v>
      </c>
      <c r="M13" s="233">
        <v>13</v>
      </c>
    </row>
    <row r="14" spans="1:19" ht="24.95" customHeight="1" x14ac:dyDescent="0.2">
      <c r="A14" s="905">
        <v>1</v>
      </c>
      <c r="B14" s="225" t="s">
        <v>392</v>
      </c>
      <c r="C14" s="270">
        <v>46.25</v>
      </c>
      <c r="D14" s="919">
        <v>0</v>
      </c>
      <c r="E14" s="270">
        <v>41.28</v>
      </c>
      <c r="F14" s="270">
        <v>1279.8499999999999</v>
      </c>
      <c r="G14" s="270">
        <v>38.779000000000003</v>
      </c>
      <c r="H14" s="270">
        <v>1381.05</v>
      </c>
      <c r="I14" s="270">
        <v>41.966999999999999</v>
      </c>
      <c r="J14" s="206">
        <f>G14-I14</f>
        <v>-3.1879999999999953</v>
      </c>
      <c r="K14" s="206">
        <f>D14+E14-I14</f>
        <v>-0.68699999999999761</v>
      </c>
      <c r="L14" s="270">
        <v>3.19</v>
      </c>
      <c r="M14" s="270">
        <f>L14</f>
        <v>3.19</v>
      </c>
    </row>
    <row r="15" spans="1:19" ht="24.95" customHeight="1" x14ac:dyDescent="0.2">
      <c r="A15" s="905">
        <v>2</v>
      </c>
      <c r="B15" s="225" t="s">
        <v>393</v>
      </c>
      <c r="C15" s="270">
        <v>21.47</v>
      </c>
      <c r="D15" s="919">
        <v>0</v>
      </c>
      <c r="E15" s="270">
        <v>19.23</v>
      </c>
      <c r="F15" s="270">
        <v>596.37</v>
      </c>
      <c r="G15" s="270">
        <v>18.065000000000001</v>
      </c>
      <c r="H15" s="270">
        <v>643.05999999999995</v>
      </c>
      <c r="I15" s="270">
        <v>19.536000000000001</v>
      </c>
      <c r="J15" s="206">
        <f t="shared" ref="J15:J26" si="0">G15-I15</f>
        <v>-1.4710000000000001</v>
      </c>
      <c r="K15" s="206">
        <f t="shared" ref="K15:K26" si="1">D15+E15-I15</f>
        <v>-0.30600000000000094</v>
      </c>
      <c r="L15" s="270">
        <v>1.47</v>
      </c>
      <c r="M15" s="270">
        <f>L15</f>
        <v>1.47</v>
      </c>
    </row>
    <row r="16" spans="1:19" ht="24.95" customHeight="1" x14ac:dyDescent="0.2">
      <c r="A16" s="905">
        <v>3</v>
      </c>
      <c r="B16" s="225" t="s">
        <v>394</v>
      </c>
      <c r="C16" s="270">
        <v>33.57</v>
      </c>
      <c r="D16" s="919">
        <v>0</v>
      </c>
      <c r="E16" s="270">
        <v>30.43</v>
      </c>
      <c r="F16" s="270">
        <v>943.48</v>
      </c>
      <c r="G16" s="270">
        <v>28.577000000000002</v>
      </c>
      <c r="H16" s="270">
        <v>1017.35</v>
      </c>
      <c r="I16" s="270">
        <v>30.904</v>
      </c>
      <c r="J16" s="206">
        <f t="shared" si="0"/>
        <v>-2.3269999999999982</v>
      </c>
      <c r="K16" s="206">
        <f t="shared" si="1"/>
        <v>-0.4740000000000002</v>
      </c>
      <c r="L16" s="270">
        <v>2.33</v>
      </c>
      <c r="M16" s="270">
        <f t="shared" ref="M16:M26" si="2">L16</f>
        <v>2.33</v>
      </c>
    </row>
    <row r="17" spans="1:14" ht="24.95" customHeight="1" x14ac:dyDescent="0.2">
      <c r="A17" s="905">
        <v>4</v>
      </c>
      <c r="B17" s="225" t="s">
        <v>395</v>
      </c>
      <c r="C17" s="206">
        <v>20.67</v>
      </c>
      <c r="D17" s="919">
        <v>0</v>
      </c>
      <c r="E17" s="270">
        <v>18.36</v>
      </c>
      <c r="F17" s="270">
        <v>569.37</v>
      </c>
      <c r="G17" s="270">
        <v>17.253</v>
      </c>
      <c r="H17" s="270">
        <v>612.17999999999995</v>
      </c>
      <c r="I17" s="270">
        <v>18.600999999999999</v>
      </c>
      <c r="J17" s="206">
        <f t="shared" si="0"/>
        <v>-1.347999999999999</v>
      </c>
      <c r="K17" s="206">
        <f t="shared" si="1"/>
        <v>-0.24099999999999966</v>
      </c>
      <c r="L17" s="206">
        <v>1.35</v>
      </c>
      <c r="M17" s="206">
        <f t="shared" si="2"/>
        <v>1.35</v>
      </c>
    </row>
    <row r="18" spans="1:14" ht="24.95" customHeight="1" x14ac:dyDescent="0.2">
      <c r="A18" s="905">
        <v>5</v>
      </c>
      <c r="B18" s="227" t="s">
        <v>396</v>
      </c>
      <c r="C18" s="270">
        <v>59.79</v>
      </c>
      <c r="D18" s="919">
        <v>0</v>
      </c>
      <c r="E18" s="270">
        <v>54.82</v>
      </c>
      <c r="F18" s="270">
        <v>1699.93</v>
      </c>
      <c r="G18" s="270">
        <v>52.801000000000002</v>
      </c>
      <c r="H18" s="270">
        <v>1820.31</v>
      </c>
      <c r="I18" s="270">
        <v>56.688000000000002</v>
      </c>
      <c r="J18" s="206">
        <f t="shared" si="0"/>
        <v>-3.8870000000000005</v>
      </c>
      <c r="K18" s="206">
        <f t="shared" si="1"/>
        <v>-1.8680000000000021</v>
      </c>
      <c r="L18" s="270">
        <v>3.89</v>
      </c>
      <c r="M18" s="270">
        <f t="shared" si="2"/>
        <v>3.89</v>
      </c>
    </row>
    <row r="19" spans="1:14" s="89" customFormat="1" ht="24.95" customHeight="1" x14ac:dyDescent="0.2">
      <c r="A19" s="905">
        <v>6</v>
      </c>
      <c r="B19" s="225" t="s">
        <v>397</v>
      </c>
      <c r="C19" s="356">
        <v>96.88</v>
      </c>
      <c r="D19" s="919">
        <v>0</v>
      </c>
      <c r="E19" s="356">
        <v>85.87</v>
      </c>
      <c r="F19" s="356">
        <v>2662.5</v>
      </c>
      <c r="G19" s="356">
        <v>82.674999999999997</v>
      </c>
      <c r="H19" s="356">
        <v>3036.95</v>
      </c>
      <c r="I19" s="356">
        <v>94.765000000000001</v>
      </c>
      <c r="J19" s="206">
        <f t="shared" si="0"/>
        <v>-12.090000000000003</v>
      </c>
      <c r="K19" s="206">
        <f t="shared" si="1"/>
        <v>-8.894999999999996</v>
      </c>
      <c r="L19" s="270">
        <v>12.08</v>
      </c>
      <c r="M19" s="270">
        <f t="shared" si="2"/>
        <v>12.08</v>
      </c>
      <c r="N19" s="87"/>
    </row>
    <row r="20" spans="1:14" s="89" customFormat="1" ht="24.95" customHeight="1" x14ac:dyDescent="0.2">
      <c r="A20" s="905">
        <v>7</v>
      </c>
      <c r="B20" s="227" t="s">
        <v>398</v>
      </c>
      <c r="C20" s="356">
        <v>52.88</v>
      </c>
      <c r="D20" s="919">
        <v>0</v>
      </c>
      <c r="E20" s="356">
        <v>49.42</v>
      </c>
      <c r="F20" s="356">
        <v>1532.29</v>
      </c>
      <c r="G20" s="356">
        <v>46.393000000000001</v>
      </c>
      <c r="H20" s="356">
        <v>1653.11</v>
      </c>
      <c r="I20" s="584">
        <v>50.198999999999998</v>
      </c>
      <c r="J20" s="206">
        <f t="shared" si="0"/>
        <v>-3.8059999999999974</v>
      </c>
      <c r="K20" s="206">
        <f t="shared" si="1"/>
        <v>-0.77899999999999636</v>
      </c>
      <c r="L20" s="270">
        <v>3.81</v>
      </c>
      <c r="M20" s="270">
        <f t="shared" si="2"/>
        <v>3.81</v>
      </c>
      <c r="N20" s="87"/>
    </row>
    <row r="21" spans="1:14" ht="24.95" customHeight="1" x14ac:dyDescent="0.2">
      <c r="A21" s="905">
        <v>8</v>
      </c>
      <c r="B21" s="225" t="s">
        <v>399</v>
      </c>
      <c r="C21" s="270">
        <v>46.78</v>
      </c>
      <c r="D21" s="919">
        <v>0</v>
      </c>
      <c r="E21" s="270">
        <v>41.26</v>
      </c>
      <c r="F21" s="244">
        <v>1273.78</v>
      </c>
      <c r="G21" s="244">
        <v>39.372999999999998</v>
      </c>
      <c r="H21" s="355">
        <v>1376.22</v>
      </c>
      <c r="I21" s="244">
        <v>42.668999999999997</v>
      </c>
      <c r="J21" s="206">
        <f t="shared" si="0"/>
        <v>-3.2959999999999994</v>
      </c>
      <c r="K21" s="206">
        <f t="shared" si="1"/>
        <v>-1.4089999999999989</v>
      </c>
      <c r="L21" s="270">
        <v>3.3</v>
      </c>
      <c r="M21" s="270">
        <f t="shared" si="2"/>
        <v>3.3</v>
      </c>
    </row>
    <row r="22" spans="1:14" ht="24.95" customHeight="1" x14ac:dyDescent="0.2">
      <c r="A22" s="905">
        <v>9</v>
      </c>
      <c r="B22" s="225" t="s">
        <v>400</v>
      </c>
      <c r="C22" s="270">
        <v>32.880000000000003</v>
      </c>
      <c r="D22" s="919">
        <v>0</v>
      </c>
      <c r="E22" s="270">
        <v>28.87</v>
      </c>
      <c r="F22" s="244">
        <v>895.18</v>
      </c>
      <c r="G22" s="244">
        <v>27.126000000000001</v>
      </c>
      <c r="H22" s="244">
        <v>965.07</v>
      </c>
      <c r="I22" s="244">
        <v>29.327999999999999</v>
      </c>
      <c r="J22" s="206">
        <f t="shared" si="0"/>
        <v>-2.2019999999999982</v>
      </c>
      <c r="K22" s="206">
        <f t="shared" si="1"/>
        <v>-0.45799999999999841</v>
      </c>
      <c r="L22" s="270">
        <v>2.2000000000000002</v>
      </c>
      <c r="M22" s="270">
        <f t="shared" si="2"/>
        <v>2.2000000000000002</v>
      </c>
    </row>
    <row r="23" spans="1:14" ht="24.95" customHeight="1" x14ac:dyDescent="0.2">
      <c r="A23" s="905">
        <v>10</v>
      </c>
      <c r="B23" s="225" t="s">
        <v>401</v>
      </c>
      <c r="C23" s="270">
        <v>22.26</v>
      </c>
      <c r="D23" s="919">
        <v>0</v>
      </c>
      <c r="E23" s="206">
        <v>20.99</v>
      </c>
      <c r="F23" s="244">
        <v>650.87</v>
      </c>
      <c r="G23" s="244">
        <v>20.210999999999999</v>
      </c>
      <c r="H23" s="244">
        <v>700</v>
      </c>
      <c r="I23" s="244">
        <v>21.797000000000001</v>
      </c>
      <c r="J23" s="206">
        <f t="shared" si="0"/>
        <v>-1.5860000000000021</v>
      </c>
      <c r="K23" s="206">
        <f t="shared" si="1"/>
        <v>-0.80700000000000216</v>
      </c>
      <c r="L23" s="270">
        <v>1.59</v>
      </c>
      <c r="M23" s="270">
        <f t="shared" si="2"/>
        <v>1.59</v>
      </c>
    </row>
    <row r="24" spans="1:14" ht="24.95" customHeight="1" x14ac:dyDescent="0.2">
      <c r="A24" s="905">
        <v>11</v>
      </c>
      <c r="B24" s="225" t="s">
        <v>402</v>
      </c>
      <c r="C24" s="270">
        <v>53.42</v>
      </c>
      <c r="D24" s="919">
        <v>0</v>
      </c>
      <c r="E24" s="270">
        <v>47.69</v>
      </c>
      <c r="F24" s="270">
        <v>1478.87</v>
      </c>
      <c r="G24" s="270">
        <v>45.927</v>
      </c>
      <c r="H24" s="244">
        <v>1593.51</v>
      </c>
      <c r="I24" s="270">
        <v>49.628999999999998</v>
      </c>
      <c r="J24" s="206">
        <f t="shared" si="0"/>
        <v>-3.7019999999999982</v>
      </c>
      <c r="K24" s="206">
        <f t="shared" si="1"/>
        <v>-1.9390000000000001</v>
      </c>
      <c r="L24" s="270">
        <v>3.7</v>
      </c>
      <c r="M24" s="270">
        <f t="shared" si="2"/>
        <v>3.7</v>
      </c>
    </row>
    <row r="25" spans="1:14" ht="24.95" customHeight="1" x14ac:dyDescent="0.2">
      <c r="A25" s="905">
        <v>12</v>
      </c>
      <c r="B25" s="225" t="s">
        <v>403</v>
      </c>
      <c r="C25" s="270">
        <v>90.85</v>
      </c>
      <c r="D25" s="919">
        <v>0</v>
      </c>
      <c r="E25" s="270">
        <v>82.24</v>
      </c>
      <c r="F25" s="270">
        <v>2550.1999999999998</v>
      </c>
      <c r="G25" s="270">
        <v>77.244</v>
      </c>
      <c r="H25" s="270">
        <v>2726.2</v>
      </c>
      <c r="I25" s="270">
        <v>82.787999999999997</v>
      </c>
      <c r="J25" s="206">
        <f t="shared" si="0"/>
        <v>-5.5439999999999969</v>
      </c>
      <c r="K25" s="206">
        <f>D25+E25-I25</f>
        <v>-0.54800000000000182</v>
      </c>
      <c r="L25" s="270">
        <v>5.54</v>
      </c>
      <c r="M25" s="270">
        <f t="shared" si="2"/>
        <v>5.54</v>
      </c>
    </row>
    <row r="26" spans="1:14" ht="24.95" customHeight="1" x14ac:dyDescent="0.2">
      <c r="A26" s="905">
        <v>13</v>
      </c>
      <c r="B26" s="225" t="s">
        <v>404</v>
      </c>
      <c r="C26" s="270">
        <v>27.75</v>
      </c>
      <c r="D26" s="919">
        <v>0</v>
      </c>
      <c r="E26" s="270">
        <v>25.17</v>
      </c>
      <c r="F26" s="270">
        <v>780.55</v>
      </c>
      <c r="G26" s="270">
        <v>24.231999999999999</v>
      </c>
      <c r="H26" s="270">
        <v>839.69</v>
      </c>
      <c r="I26" s="270">
        <v>26.141999999999999</v>
      </c>
      <c r="J26" s="206">
        <f t="shared" si="0"/>
        <v>-1.9100000000000001</v>
      </c>
      <c r="K26" s="206">
        <f t="shared" si="1"/>
        <v>-0.97199999999999775</v>
      </c>
      <c r="L26" s="270">
        <v>1.91</v>
      </c>
      <c r="M26" s="270">
        <f t="shared" si="2"/>
        <v>1.91</v>
      </c>
    </row>
    <row r="27" spans="1:14" x14ac:dyDescent="0.2">
      <c r="A27" s="905" t="s">
        <v>18</v>
      </c>
      <c r="B27" s="218"/>
      <c r="C27" s="207">
        <f>SUM(C14:C26)</f>
        <v>605.44999999999993</v>
      </c>
      <c r="D27" s="920">
        <f t="shared" ref="D27:M27" si="3">SUM(D14:D26)</f>
        <v>0</v>
      </c>
      <c r="E27" s="207">
        <f t="shared" si="3"/>
        <v>545.63</v>
      </c>
      <c r="F27" s="207">
        <f t="shared" si="3"/>
        <v>16913.240000000002</v>
      </c>
      <c r="G27" s="207">
        <f t="shared" si="3"/>
        <v>518.65599999999995</v>
      </c>
      <c r="H27" s="207">
        <f t="shared" si="3"/>
        <v>18364.699999999997</v>
      </c>
      <c r="I27" s="207">
        <f t="shared" si="3"/>
        <v>565.01300000000003</v>
      </c>
      <c r="J27" s="207">
        <f t="shared" si="3"/>
        <v>-46.356999999999985</v>
      </c>
      <c r="K27" s="207">
        <f t="shared" si="3"/>
        <v>-19.382999999999992</v>
      </c>
      <c r="L27" s="207">
        <f t="shared" si="3"/>
        <v>46.360000000000007</v>
      </c>
      <c r="M27" s="207">
        <f t="shared" si="3"/>
        <v>46.360000000000007</v>
      </c>
    </row>
    <row r="28" spans="1:14" x14ac:dyDescent="0.2">
      <c r="A28" s="116" t="s">
        <v>770</v>
      </c>
      <c r="C28" s="655"/>
      <c r="D28" s="655"/>
      <c r="E28" s="655"/>
      <c r="F28" s="655"/>
      <c r="G28" s="655"/>
      <c r="H28" s="655"/>
      <c r="I28" s="921">
        <f>E27-I27</f>
        <v>-19.383000000000038</v>
      </c>
      <c r="J28" s="655"/>
      <c r="K28" s="655"/>
      <c r="L28" s="655"/>
      <c r="M28" s="655"/>
    </row>
    <row r="29" spans="1:14" x14ac:dyDescent="0.2">
      <c r="A29" s="116" t="s">
        <v>1004</v>
      </c>
    </row>
    <row r="30" spans="1:14" x14ac:dyDescent="0.2">
      <c r="A30" s="116"/>
    </row>
    <row r="32" spans="1:14" ht="15.75" customHeight="1" x14ac:dyDescent="0.2"/>
    <row r="33" spans="1:14" ht="15.75" customHeight="1" x14ac:dyDescent="0.2">
      <c r="A33" s="1086" t="s">
        <v>12</v>
      </c>
      <c r="B33" s="1086"/>
      <c r="C33" s="1086"/>
      <c r="D33" s="1086"/>
      <c r="E33" s="1086"/>
      <c r="F33" s="1086"/>
      <c r="G33" s="1086"/>
      <c r="H33" s="1086"/>
      <c r="I33" s="1086"/>
      <c r="J33" s="1086"/>
      <c r="K33" s="1086"/>
      <c r="L33" s="1086"/>
      <c r="M33" s="1086"/>
      <c r="N33" s="911"/>
    </row>
    <row r="34" spans="1:14" ht="15.75" customHeight="1" x14ac:dyDescent="0.2">
      <c r="A34" s="1086" t="s">
        <v>13</v>
      </c>
      <c r="B34" s="1086"/>
      <c r="C34" s="1086"/>
      <c r="D34" s="1086"/>
      <c r="E34" s="1086"/>
      <c r="F34" s="1086"/>
      <c r="G34" s="1086"/>
      <c r="H34" s="1086"/>
      <c r="I34" s="1086"/>
      <c r="J34" s="1086"/>
      <c r="K34" s="1086"/>
      <c r="L34" s="1086"/>
      <c r="M34" s="1086"/>
      <c r="N34" s="911"/>
    </row>
    <row r="35" spans="1:14" ht="12.75" customHeight="1" x14ac:dyDescent="0.2">
      <c r="A35" s="1086" t="s">
        <v>19</v>
      </c>
      <c r="B35" s="1086"/>
      <c r="C35" s="1086"/>
      <c r="D35" s="1086"/>
      <c r="E35" s="1086"/>
      <c r="F35" s="1086"/>
      <c r="G35" s="1086"/>
      <c r="H35" s="1086"/>
      <c r="I35" s="1086"/>
      <c r="J35" s="1086"/>
      <c r="K35" s="1086"/>
      <c r="L35" s="1086"/>
      <c r="M35" s="1086"/>
      <c r="N35" s="911"/>
    </row>
    <row r="36" spans="1:14" x14ac:dyDescent="0.2">
      <c r="A36" s="11" t="s">
        <v>628</v>
      </c>
      <c r="B36" s="11"/>
      <c r="C36" s="11"/>
      <c r="D36" s="11"/>
      <c r="E36" s="11"/>
      <c r="F36" s="11"/>
      <c r="G36" s="911"/>
      <c r="H36" s="911"/>
      <c r="I36" s="911"/>
      <c r="J36" s="911"/>
      <c r="L36" s="24" t="s">
        <v>85</v>
      </c>
      <c r="M36" s="24"/>
      <c r="N36" s="24"/>
    </row>
    <row r="37" spans="1:14" x14ac:dyDescent="0.2">
      <c r="A37" s="11"/>
      <c r="B37" s="911"/>
      <c r="C37" s="911"/>
      <c r="D37" s="911"/>
      <c r="E37" s="911"/>
      <c r="F37" s="911"/>
      <c r="G37" s="911"/>
      <c r="H37" s="911"/>
      <c r="I37" s="911"/>
      <c r="J37" s="911"/>
      <c r="K37" s="911"/>
      <c r="L37" s="911"/>
      <c r="M37" s="911"/>
      <c r="N37" s="911"/>
    </row>
  </sheetData>
  <mergeCells count="21">
    <mergeCell ref="A35:M35"/>
    <mergeCell ref="K10:K12"/>
    <mergeCell ref="D10:D12"/>
    <mergeCell ref="E10:E12"/>
    <mergeCell ref="A33:M33"/>
    <mergeCell ref="A34:M34"/>
    <mergeCell ref="A7:M7"/>
    <mergeCell ref="F10:G11"/>
    <mergeCell ref="A5:M5"/>
    <mergeCell ref="K9:M9"/>
    <mergeCell ref="K2:M2"/>
    <mergeCell ref="C10:C12"/>
    <mergeCell ref="L8:M8"/>
    <mergeCell ref="J10:J12"/>
    <mergeCell ref="A10:A12"/>
    <mergeCell ref="B10:B12"/>
    <mergeCell ref="L10:L12"/>
    <mergeCell ref="A4:M4"/>
    <mergeCell ref="M10:M12"/>
    <mergeCell ref="A9:C9"/>
    <mergeCell ref="H10:I11"/>
  </mergeCells>
  <printOptions horizontalCentered="1"/>
  <pageMargins left="0.41" right="0.38" top="0.23622047244094491" bottom="0" header="0.31496062992125984" footer="0.31496062992125984"/>
  <pageSetup paperSize="9" scale="8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31"/>
  <sheetViews>
    <sheetView workbookViewId="0">
      <selection activeCell="N16" sqref="N16"/>
    </sheetView>
  </sheetViews>
  <sheetFormatPr defaultRowHeight="12.75" x14ac:dyDescent="0.2"/>
  <cols>
    <col min="1" max="1" width="6.140625" customWidth="1"/>
    <col min="2" max="3" width="14.5703125" customWidth="1"/>
    <col min="4" max="4" width="13.7109375" customWidth="1"/>
    <col min="5" max="5" width="8.85546875" customWidth="1"/>
    <col min="6" max="6" width="13.42578125" customWidth="1"/>
    <col min="7" max="7" width="11" customWidth="1"/>
    <col min="8" max="8" width="11.7109375" customWidth="1"/>
    <col min="9" max="9" width="11.5703125" customWidth="1"/>
    <col min="10" max="10" width="9.42578125" customWidth="1"/>
    <col min="11" max="11" width="13.140625" customWidth="1"/>
    <col min="12" max="12" width="10.7109375" customWidth="1"/>
  </cols>
  <sheetData>
    <row r="1" spans="1:14" x14ac:dyDescent="0.2">
      <c r="D1" s="24"/>
      <c r="E1" s="24"/>
      <c r="F1" s="24"/>
      <c r="G1" s="24"/>
      <c r="H1" s="24"/>
      <c r="I1" s="24"/>
      <c r="J1" s="24"/>
      <c r="K1" s="301" t="s">
        <v>510</v>
      </c>
      <c r="M1" s="300"/>
    </row>
    <row r="2" spans="1:14" ht="15" x14ac:dyDescent="0.2">
      <c r="A2" s="1080" t="s">
        <v>0</v>
      </c>
      <c r="B2" s="1080"/>
      <c r="C2" s="1080"/>
      <c r="D2" s="1080"/>
      <c r="E2" s="1080"/>
      <c r="F2" s="1080"/>
      <c r="G2" s="1080"/>
      <c r="H2" s="1080"/>
      <c r="I2" s="1080"/>
      <c r="J2" s="1080"/>
      <c r="K2" s="1080"/>
      <c r="L2" s="1080"/>
      <c r="M2" s="34"/>
    </row>
    <row r="3" spans="1:14" ht="20.25" x14ac:dyDescent="0.3">
      <c r="A3" s="1056" t="s">
        <v>794</v>
      </c>
      <c r="B3" s="1056"/>
      <c r="C3" s="1056"/>
      <c r="D3" s="1056"/>
      <c r="E3" s="1056"/>
      <c r="F3" s="1056"/>
      <c r="G3" s="1056"/>
      <c r="H3" s="1056"/>
      <c r="I3" s="1056"/>
      <c r="J3" s="1056"/>
      <c r="K3" s="1056"/>
      <c r="L3" s="1056"/>
      <c r="M3" s="33"/>
    </row>
    <row r="4" spans="1:14" ht="18" x14ac:dyDescent="0.25">
      <c r="A4" s="1085" t="s">
        <v>869</v>
      </c>
      <c r="B4" s="1085"/>
      <c r="C4" s="1085"/>
      <c r="D4" s="1085"/>
      <c r="E4" s="1085"/>
      <c r="F4" s="1085"/>
      <c r="G4" s="1085"/>
      <c r="H4" s="1085"/>
      <c r="I4" s="1085"/>
      <c r="J4" s="1085"/>
      <c r="K4" s="1085"/>
      <c r="L4" s="1085"/>
      <c r="M4" s="12"/>
    </row>
    <row r="5" spans="1:14" x14ac:dyDescent="0.2">
      <c r="A5" s="17"/>
      <c r="B5" s="17"/>
      <c r="C5" s="17"/>
      <c r="D5" s="17"/>
      <c r="E5" s="17"/>
      <c r="F5" s="17"/>
      <c r="G5" s="17"/>
      <c r="H5" s="17"/>
      <c r="I5" s="17"/>
      <c r="J5" s="17"/>
      <c r="K5" s="17"/>
      <c r="L5" s="17"/>
      <c r="M5" s="12"/>
    </row>
    <row r="6" spans="1:14" s="87" customFormat="1" x14ac:dyDescent="0.2">
      <c r="A6" s="1068" t="s">
        <v>463</v>
      </c>
      <c r="B6" s="1068"/>
      <c r="C6" s="1068"/>
      <c r="D6" s="479"/>
      <c r="E6" s="479"/>
      <c r="F6" s="479"/>
      <c r="G6" s="480"/>
      <c r="H6" s="481"/>
      <c r="I6" s="481"/>
      <c r="J6" s="1061" t="s">
        <v>914</v>
      </c>
      <c r="K6" s="1061"/>
      <c r="L6" s="1061"/>
      <c r="M6" s="12"/>
    </row>
    <row r="7" spans="1:14" ht="14.25" x14ac:dyDescent="0.2">
      <c r="A7" s="1064" t="s">
        <v>2</v>
      </c>
      <c r="B7" s="1064" t="s">
        <v>3</v>
      </c>
      <c r="C7" s="1090" t="s">
        <v>26</v>
      </c>
      <c r="D7" s="1091"/>
      <c r="E7" s="1091"/>
      <c r="F7" s="1091"/>
      <c r="G7" s="1091"/>
      <c r="H7" s="1100" t="s">
        <v>27</v>
      </c>
      <c r="I7" s="1100"/>
      <c r="J7" s="1100"/>
      <c r="K7" s="1100"/>
      <c r="L7" s="1100"/>
      <c r="M7" s="12"/>
      <c r="N7" s="38"/>
    </row>
    <row r="8" spans="1:14" ht="53.25" customHeight="1" x14ac:dyDescent="0.2">
      <c r="A8" s="1064"/>
      <c r="B8" s="1064"/>
      <c r="C8" s="742" t="s">
        <v>820</v>
      </c>
      <c r="D8" s="742" t="s">
        <v>821</v>
      </c>
      <c r="E8" s="195" t="s">
        <v>72</v>
      </c>
      <c r="F8" s="195" t="s">
        <v>73</v>
      </c>
      <c r="G8" s="777" t="s">
        <v>865</v>
      </c>
      <c r="H8" s="742" t="s">
        <v>820</v>
      </c>
      <c r="I8" s="742" t="s">
        <v>821</v>
      </c>
      <c r="J8" s="4" t="s">
        <v>72</v>
      </c>
      <c r="K8" s="4" t="s">
        <v>73</v>
      </c>
      <c r="L8" s="779" t="s">
        <v>866</v>
      </c>
      <c r="M8" s="12"/>
    </row>
    <row r="9" spans="1:14" x14ac:dyDescent="0.2">
      <c r="A9" s="195">
        <v>1</v>
      </c>
      <c r="B9" s="195">
        <v>2</v>
      </c>
      <c r="C9" s="195">
        <v>3</v>
      </c>
      <c r="D9" s="195">
        <v>4</v>
      </c>
      <c r="E9" s="195">
        <v>5</v>
      </c>
      <c r="F9" s="195">
        <v>6</v>
      </c>
      <c r="G9" s="195">
        <v>7</v>
      </c>
      <c r="H9" s="4">
        <v>8</v>
      </c>
      <c r="I9" s="4">
        <v>9</v>
      </c>
      <c r="J9" s="4">
        <v>10</v>
      </c>
      <c r="K9" s="4">
        <v>11</v>
      </c>
      <c r="L9" s="4">
        <v>12</v>
      </c>
      <c r="M9" s="11"/>
    </row>
    <row r="10" spans="1:14" ht="19.5" customHeight="1" x14ac:dyDescent="0.2">
      <c r="A10" s="194">
        <v>1</v>
      </c>
      <c r="B10" s="225" t="s">
        <v>392</v>
      </c>
      <c r="C10" s="1134" t="s">
        <v>406</v>
      </c>
      <c r="D10" s="1135"/>
      <c r="E10" s="1135"/>
      <c r="F10" s="1135"/>
      <c r="G10" s="1135"/>
      <c r="H10" s="1135"/>
      <c r="I10" s="1135"/>
      <c r="J10" s="1135"/>
      <c r="K10" s="1135"/>
      <c r="L10" s="1136"/>
      <c r="M10" s="12"/>
    </row>
    <row r="11" spans="1:14" ht="19.5" customHeight="1" x14ac:dyDescent="0.2">
      <c r="A11" s="194">
        <v>2</v>
      </c>
      <c r="B11" s="225" t="s">
        <v>393</v>
      </c>
      <c r="C11" s="1137"/>
      <c r="D11" s="1138"/>
      <c r="E11" s="1138"/>
      <c r="F11" s="1138"/>
      <c r="G11" s="1138"/>
      <c r="H11" s="1138"/>
      <c r="I11" s="1138"/>
      <c r="J11" s="1138"/>
      <c r="K11" s="1138"/>
      <c r="L11" s="1139"/>
      <c r="M11" s="12"/>
    </row>
    <row r="12" spans="1:14" ht="19.5" customHeight="1" x14ac:dyDescent="0.2">
      <c r="A12" s="194">
        <v>3</v>
      </c>
      <c r="B12" s="225" t="s">
        <v>394</v>
      </c>
      <c r="C12" s="1137"/>
      <c r="D12" s="1138"/>
      <c r="E12" s="1138"/>
      <c r="F12" s="1138"/>
      <c r="G12" s="1138"/>
      <c r="H12" s="1138"/>
      <c r="I12" s="1138"/>
      <c r="J12" s="1138"/>
      <c r="K12" s="1138"/>
      <c r="L12" s="1139"/>
      <c r="M12" s="12"/>
    </row>
    <row r="13" spans="1:14" ht="19.5" customHeight="1" x14ac:dyDescent="0.2">
      <c r="A13" s="194">
        <v>4</v>
      </c>
      <c r="B13" s="225" t="s">
        <v>395</v>
      </c>
      <c r="C13" s="1137"/>
      <c r="D13" s="1138"/>
      <c r="E13" s="1138"/>
      <c r="F13" s="1138"/>
      <c r="G13" s="1138"/>
      <c r="H13" s="1138"/>
      <c r="I13" s="1138"/>
      <c r="J13" s="1138"/>
      <c r="K13" s="1138"/>
      <c r="L13" s="1139"/>
      <c r="M13" s="12"/>
    </row>
    <row r="14" spans="1:14" ht="19.5" customHeight="1" x14ac:dyDescent="0.2">
      <c r="A14" s="194">
        <v>5</v>
      </c>
      <c r="B14" s="227" t="s">
        <v>396</v>
      </c>
      <c r="C14" s="1137"/>
      <c r="D14" s="1138"/>
      <c r="E14" s="1138"/>
      <c r="F14" s="1138"/>
      <c r="G14" s="1138"/>
      <c r="H14" s="1138"/>
      <c r="I14" s="1138"/>
      <c r="J14" s="1138"/>
      <c r="K14" s="1138"/>
      <c r="L14" s="1139"/>
      <c r="M14" s="12"/>
    </row>
    <row r="15" spans="1:14" ht="19.5" customHeight="1" x14ac:dyDescent="0.2">
      <c r="A15" s="194">
        <v>6</v>
      </c>
      <c r="B15" s="225" t="s">
        <v>397</v>
      </c>
      <c r="C15" s="1137"/>
      <c r="D15" s="1138"/>
      <c r="E15" s="1138"/>
      <c r="F15" s="1138"/>
      <c r="G15" s="1138"/>
      <c r="H15" s="1138"/>
      <c r="I15" s="1138"/>
      <c r="J15" s="1138"/>
      <c r="K15" s="1138"/>
      <c r="L15" s="1139"/>
      <c r="M15" s="12"/>
    </row>
    <row r="16" spans="1:14" ht="19.5" customHeight="1" x14ac:dyDescent="0.2">
      <c r="A16" s="194">
        <v>7</v>
      </c>
      <c r="B16" s="227" t="s">
        <v>398</v>
      </c>
      <c r="C16" s="1137"/>
      <c r="D16" s="1138"/>
      <c r="E16" s="1138"/>
      <c r="F16" s="1138"/>
      <c r="G16" s="1138"/>
      <c r="H16" s="1138"/>
      <c r="I16" s="1138"/>
      <c r="J16" s="1138"/>
      <c r="K16" s="1138"/>
      <c r="L16" s="1139"/>
      <c r="M16" s="12"/>
    </row>
    <row r="17" spans="1:13" ht="19.5" customHeight="1" x14ac:dyDescent="0.2">
      <c r="A17" s="194">
        <v>8</v>
      </c>
      <c r="B17" s="225" t="s">
        <v>399</v>
      </c>
      <c r="C17" s="1137"/>
      <c r="D17" s="1138"/>
      <c r="E17" s="1138"/>
      <c r="F17" s="1138"/>
      <c r="G17" s="1138"/>
      <c r="H17" s="1138"/>
      <c r="I17" s="1138"/>
      <c r="J17" s="1138"/>
      <c r="K17" s="1138"/>
      <c r="L17" s="1139"/>
      <c r="M17" s="12"/>
    </row>
    <row r="18" spans="1:13" ht="19.5" customHeight="1" x14ac:dyDescent="0.2">
      <c r="A18" s="194">
        <v>9</v>
      </c>
      <c r="B18" s="225" t="s">
        <v>400</v>
      </c>
      <c r="C18" s="1137"/>
      <c r="D18" s="1138"/>
      <c r="E18" s="1138"/>
      <c r="F18" s="1138"/>
      <c r="G18" s="1138"/>
      <c r="H18" s="1138"/>
      <c r="I18" s="1138"/>
      <c r="J18" s="1138"/>
      <c r="K18" s="1138"/>
      <c r="L18" s="1139"/>
      <c r="M18" s="12"/>
    </row>
    <row r="19" spans="1:13" ht="19.5" customHeight="1" x14ac:dyDescent="0.2">
      <c r="A19" s="194">
        <v>10</v>
      </c>
      <c r="B19" s="225" t="s">
        <v>401</v>
      </c>
      <c r="C19" s="1137"/>
      <c r="D19" s="1138"/>
      <c r="E19" s="1138"/>
      <c r="F19" s="1138"/>
      <c r="G19" s="1138"/>
      <c r="H19" s="1138"/>
      <c r="I19" s="1138"/>
      <c r="J19" s="1138"/>
      <c r="K19" s="1138"/>
      <c r="L19" s="1139"/>
      <c r="M19" s="12"/>
    </row>
    <row r="20" spans="1:13" ht="19.5" customHeight="1" x14ac:dyDescent="0.2">
      <c r="A20" s="194">
        <v>11</v>
      </c>
      <c r="B20" s="225" t="s">
        <v>402</v>
      </c>
      <c r="C20" s="1137"/>
      <c r="D20" s="1138"/>
      <c r="E20" s="1138"/>
      <c r="F20" s="1138"/>
      <c r="G20" s="1138"/>
      <c r="H20" s="1138"/>
      <c r="I20" s="1138"/>
      <c r="J20" s="1138"/>
      <c r="K20" s="1138"/>
      <c r="L20" s="1139"/>
      <c r="M20" s="12"/>
    </row>
    <row r="21" spans="1:13" ht="19.5" customHeight="1" x14ac:dyDescent="0.2">
      <c r="A21" s="194">
        <v>12</v>
      </c>
      <c r="B21" s="225" t="s">
        <v>403</v>
      </c>
      <c r="C21" s="1137"/>
      <c r="D21" s="1138"/>
      <c r="E21" s="1138"/>
      <c r="F21" s="1138"/>
      <c r="G21" s="1138"/>
      <c r="H21" s="1138"/>
      <c r="I21" s="1138"/>
      <c r="J21" s="1138"/>
      <c r="K21" s="1138"/>
      <c r="L21" s="1139"/>
      <c r="M21" s="12"/>
    </row>
    <row r="22" spans="1:13" ht="19.5" customHeight="1" x14ac:dyDescent="0.2">
      <c r="A22" s="194">
        <v>13</v>
      </c>
      <c r="B22" s="225" t="s">
        <v>404</v>
      </c>
      <c r="C22" s="1140"/>
      <c r="D22" s="1141"/>
      <c r="E22" s="1141"/>
      <c r="F22" s="1141"/>
      <c r="G22" s="1141"/>
      <c r="H22" s="1141"/>
      <c r="I22" s="1141"/>
      <c r="J22" s="1141"/>
      <c r="K22" s="1141"/>
      <c r="L22" s="1142"/>
      <c r="M22" s="12"/>
    </row>
    <row r="23" spans="1:13" ht="19.5" customHeight="1" x14ac:dyDescent="0.2">
      <c r="A23" s="194" t="s">
        <v>18</v>
      </c>
      <c r="B23" s="218"/>
      <c r="C23" s="14"/>
      <c r="D23" s="14"/>
      <c r="E23" s="14"/>
      <c r="F23" s="14"/>
      <c r="G23" s="14"/>
      <c r="H23" s="299"/>
      <c r="I23" s="299"/>
      <c r="J23" s="299"/>
      <c r="K23" s="299"/>
      <c r="L23" s="14"/>
      <c r="M23" s="12"/>
    </row>
    <row r="24" spans="1:13" x14ac:dyDescent="0.2">
      <c r="A24" s="15" t="s">
        <v>171</v>
      </c>
      <c r="B24" s="16"/>
      <c r="C24" s="16"/>
      <c r="D24" s="16"/>
      <c r="E24" s="16"/>
      <c r="F24" s="16"/>
      <c r="G24" s="16"/>
      <c r="H24" s="16"/>
      <c r="I24" s="16"/>
      <c r="J24" s="16"/>
      <c r="K24" s="16"/>
      <c r="L24" s="16"/>
      <c r="M24" s="12"/>
    </row>
    <row r="25" spans="1:13" x14ac:dyDescent="0.2">
      <c r="A25" s="15"/>
      <c r="B25" s="16"/>
      <c r="C25" s="16"/>
      <c r="D25" s="16"/>
      <c r="E25" s="16"/>
      <c r="F25" s="16"/>
      <c r="G25" s="16"/>
      <c r="H25" s="16"/>
      <c r="I25" s="16"/>
      <c r="J25" s="16"/>
      <c r="K25" s="16"/>
      <c r="L25" s="16"/>
      <c r="M25" s="12"/>
    </row>
    <row r="26" spans="1:13" x14ac:dyDescent="0.2">
      <c r="A26" s="11"/>
      <c r="B26" s="11"/>
      <c r="C26" s="11"/>
      <c r="D26" s="11"/>
      <c r="E26" s="11"/>
      <c r="F26" s="11"/>
      <c r="G26" s="11"/>
      <c r="H26" s="11"/>
      <c r="I26" s="11"/>
      <c r="J26" s="11"/>
      <c r="K26" s="11"/>
      <c r="L26" s="11"/>
      <c r="M26" s="12"/>
    </row>
    <row r="27" spans="1:13" x14ac:dyDescent="0.2">
      <c r="A27" s="1086" t="s">
        <v>12</v>
      </c>
      <c r="B27" s="1086"/>
      <c r="C27" s="1086"/>
      <c r="D27" s="1086"/>
      <c r="E27" s="1086"/>
      <c r="F27" s="1086"/>
      <c r="G27" s="1086"/>
      <c r="H27" s="1086"/>
      <c r="I27" s="1086"/>
      <c r="J27" s="1086"/>
      <c r="K27" s="1086"/>
      <c r="L27" s="1086"/>
      <c r="M27" s="12"/>
    </row>
    <row r="28" spans="1:13" x14ac:dyDescent="0.2">
      <c r="A28" s="1086" t="s">
        <v>13</v>
      </c>
      <c r="B28" s="1086"/>
      <c r="C28" s="1086"/>
      <c r="D28" s="1086"/>
      <c r="E28" s="1086"/>
      <c r="F28" s="1086"/>
      <c r="G28" s="1086"/>
      <c r="H28" s="1086"/>
      <c r="I28" s="1086"/>
      <c r="J28" s="1086"/>
      <c r="K28" s="1086"/>
      <c r="L28" s="1086"/>
      <c r="M28" s="12"/>
    </row>
    <row r="29" spans="1:13" x14ac:dyDescent="0.2">
      <c r="A29" s="1086" t="s">
        <v>19</v>
      </c>
      <c r="B29" s="1086"/>
      <c r="C29" s="1086"/>
      <c r="D29" s="1086"/>
      <c r="E29" s="1086"/>
      <c r="F29" s="1086"/>
      <c r="G29" s="1086"/>
      <c r="H29" s="1086"/>
      <c r="I29" s="1086"/>
      <c r="J29" s="1086"/>
      <c r="K29" s="1086"/>
      <c r="L29" s="1086"/>
      <c r="M29" s="12"/>
    </row>
    <row r="30" spans="1:13" x14ac:dyDescent="0.2">
      <c r="A30" s="11" t="s">
        <v>622</v>
      </c>
      <c r="B30" s="11"/>
      <c r="C30" s="11"/>
      <c r="D30" s="11"/>
      <c r="E30" s="11"/>
      <c r="F30" s="11"/>
      <c r="G30" s="12"/>
      <c r="H30" s="12"/>
      <c r="I30" s="12"/>
      <c r="J30" s="1000" t="s">
        <v>85</v>
      </c>
      <c r="K30" s="1000"/>
      <c r="L30" s="1000"/>
      <c r="M30" s="1000"/>
    </row>
    <row r="31" spans="1:13" x14ac:dyDescent="0.2">
      <c r="A31" s="11"/>
      <c r="B31" s="12"/>
      <c r="C31" s="12"/>
      <c r="D31" s="12"/>
      <c r="E31" s="12"/>
      <c r="F31" s="12"/>
      <c r="G31" s="12"/>
      <c r="H31" s="12"/>
      <c r="I31" s="12"/>
      <c r="J31" s="12"/>
      <c r="K31" s="12"/>
      <c r="L31" s="12"/>
      <c r="M31" s="12"/>
    </row>
  </sheetData>
  <mergeCells count="14">
    <mergeCell ref="A2:L2"/>
    <mergeCell ref="A3:L3"/>
    <mergeCell ref="A4:L4"/>
    <mergeCell ref="A29:L29"/>
    <mergeCell ref="A6:C6"/>
    <mergeCell ref="J6:L6"/>
    <mergeCell ref="J30:M30"/>
    <mergeCell ref="A7:A8"/>
    <mergeCell ref="B7:B8"/>
    <mergeCell ref="C7:G7"/>
    <mergeCell ref="H7:L7"/>
    <mergeCell ref="A27:L27"/>
    <mergeCell ref="A28:L28"/>
    <mergeCell ref="C10:L22"/>
  </mergeCells>
  <printOptions horizontalCentered="1"/>
  <pageMargins left="0.26" right="0.23" top="0.28999999999999998" bottom="0.42" header="0.17"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00000"/>
    <pageSetUpPr fitToPage="1"/>
  </sheetPr>
  <dimension ref="A1:V37"/>
  <sheetViews>
    <sheetView topLeftCell="A18" zoomScaleSheetLayoutView="100" workbookViewId="0">
      <selection activeCell="K37" sqref="K37"/>
    </sheetView>
  </sheetViews>
  <sheetFormatPr defaultRowHeight="12.75" x14ac:dyDescent="0.2"/>
  <cols>
    <col min="1" max="1" width="7.42578125" style="12" customWidth="1"/>
    <col min="2" max="2" width="17.140625" style="12" customWidth="1"/>
    <col min="3" max="3" width="8.7109375" style="12" customWidth="1"/>
    <col min="4" max="4" width="7.42578125" style="12" customWidth="1"/>
    <col min="5" max="5" width="8.140625" style="12" customWidth="1"/>
    <col min="6" max="7" width="7.28515625" style="12" customWidth="1"/>
    <col min="8" max="8" width="8.140625" style="12" customWidth="1"/>
    <col min="9" max="9" width="9.28515625" style="12" customWidth="1"/>
    <col min="10" max="10" width="7.140625" style="12" customWidth="1"/>
    <col min="11" max="11" width="8" style="12" customWidth="1"/>
    <col min="12" max="12" width="8.7109375" style="12" customWidth="1"/>
    <col min="13" max="13" width="7.85546875" style="12" customWidth="1"/>
    <col min="14" max="14" width="8.28515625" style="12" customWidth="1"/>
    <col min="15" max="15" width="9.28515625" style="12" customWidth="1"/>
    <col min="16" max="16" width="9.140625" style="12" customWidth="1"/>
    <col min="17" max="17" width="8.85546875" style="12" customWidth="1"/>
    <col min="18" max="18" width="9.140625" style="12"/>
    <col min="19" max="22" width="7.42578125" style="12" customWidth="1"/>
    <col min="23" max="16384" width="9.140625" style="12"/>
  </cols>
  <sheetData>
    <row r="1" spans="1:22" customFormat="1" ht="15" x14ac:dyDescent="0.2">
      <c r="H1" s="24"/>
      <c r="I1" s="24"/>
      <c r="J1" s="24"/>
      <c r="K1" s="24"/>
      <c r="L1" s="24"/>
      <c r="M1" s="24"/>
      <c r="N1" s="24"/>
      <c r="O1" s="24"/>
      <c r="P1" s="1143" t="s">
        <v>66</v>
      </c>
      <c r="Q1" s="1143"/>
      <c r="S1" s="12"/>
      <c r="T1" s="32"/>
      <c r="U1" s="32"/>
    </row>
    <row r="2" spans="1:22" customFormat="1" ht="15" x14ac:dyDescent="0.2">
      <c r="A2" s="1080" t="s">
        <v>0</v>
      </c>
      <c r="B2" s="1080"/>
      <c r="C2" s="1080"/>
      <c r="D2" s="1080"/>
      <c r="E2" s="1080"/>
      <c r="F2" s="1080"/>
      <c r="G2" s="1080"/>
      <c r="H2" s="1080"/>
      <c r="I2" s="1080"/>
      <c r="J2" s="1080"/>
      <c r="K2" s="1080"/>
      <c r="L2" s="1080"/>
      <c r="M2" s="1080"/>
      <c r="N2" s="1080"/>
      <c r="O2" s="1080"/>
      <c r="P2" s="1080"/>
      <c r="Q2" s="1080"/>
      <c r="R2" s="34"/>
      <c r="S2" s="34"/>
      <c r="T2" s="34"/>
      <c r="U2" s="34"/>
    </row>
    <row r="3" spans="1:22" customFormat="1" ht="20.25" x14ac:dyDescent="0.3">
      <c r="A3" s="1056" t="s">
        <v>664</v>
      </c>
      <c r="B3" s="1056"/>
      <c r="C3" s="1056"/>
      <c r="D3" s="1056"/>
      <c r="E3" s="1056"/>
      <c r="F3" s="1056"/>
      <c r="G3" s="1056"/>
      <c r="H3" s="1056"/>
      <c r="I3" s="1056"/>
      <c r="J3" s="1056"/>
      <c r="K3" s="1056"/>
      <c r="L3" s="1056"/>
      <c r="M3" s="1056"/>
      <c r="N3" s="1056"/>
      <c r="O3" s="1056"/>
      <c r="P3" s="1056"/>
      <c r="Q3" s="1056"/>
      <c r="R3" s="33"/>
      <c r="S3" s="33"/>
      <c r="T3" s="33"/>
      <c r="U3" s="33"/>
    </row>
    <row r="4" spans="1:22" ht="18" customHeight="1" x14ac:dyDescent="0.25">
      <c r="A4" s="1085" t="s">
        <v>723</v>
      </c>
      <c r="B4" s="1085"/>
      <c r="C4" s="1085"/>
      <c r="D4" s="1085"/>
      <c r="E4" s="1085"/>
      <c r="F4" s="1085"/>
      <c r="G4" s="1085"/>
      <c r="H4" s="1085"/>
      <c r="I4" s="1085"/>
      <c r="J4" s="1085"/>
      <c r="K4" s="1085"/>
      <c r="L4" s="1085"/>
      <c r="M4" s="1085"/>
      <c r="N4" s="1085"/>
      <c r="O4" s="1085"/>
      <c r="P4" s="1085"/>
      <c r="Q4" s="1085"/>
    </row>
    <row r="5" spans="1:22" ht="9.75" customHeight="1" x14ac:dyDescent="0.2"/>
    <row r="6" spans="1:22" ht="0.75" customHeight="1" x14ac:dyDescent="0.2"/>
    <row r="7" spans="1:22" x14ac:dyDescent="0.2">
      <c r="O7" s="22" t="s">
        <v>24</v>
      </c>
      <c r="R7" s="16"/>
      <c r="S7" s="16"/>
    </row>
    <row r="8" spans="1:22" s="468" customFormat="1" ht="12" x14ac:dyDescent="0.2">
      <c r="A8" s="1068" t="s">
        <v>463</v>
      </c>
      <c r="B8" s="1068"/>
      <c r="C8" s="1068"/>
      <c r="N8" s="1144" t="s">
        <v>914</v>
      </c>
      <c r="O8" s="1144"/>
      <c r="P8" s="1144"/>
      <c r="Q8" s="1144"/>
    </row>
    <row r="9" spans="1:22" ht="37.15" customHeight="1" x14ac:dyDescent="0.2">
      <c r="A9" s="1066" t="s">
        <v>2</v>
      </c>
      <c r="B9" s="1066" t="s">
        <v>3</v>
      </c>
      <c r="C9" s="1064" t="s">
        <v>983</v>
      </c>
      <c r="D9" s="1064"/>
      <c r="E9" s="1064"/>
      <c r="F9" s="1064" t="s">
        <v>984</v>
      </c>
      <c r="G9" s="1064"/>
      <c r="H9" s="1064"/>
      <c r="I9" s="1145" t="s">
        <v>192</v>
      </c>
      <c r="J9" s="1146"/>
      <c r="K9" s="1147"/>
      <c r="L9" s="1145" t="s">
        <v>97</v>
      </c>
      <c r="M9" s="1146"/>
      <c r="N9" s="1147"/>
      <c r="O9" s="1148" t="s">
        <v>982</v>
      </c>
      <c r="P9" s="1149"/>
      <c r="Q9" s="1150"/>
    </row>
    <row r="10" spans="1:22" ht="39.75" customHeight="1" x14ac:dyDescent="0.2">
      <c r="A10" s="1067"/>
      <c r="B10" s="1067"/>
      <c r="C10" s="195" t="s">
        <v>193</v>
      </c>
      <c r="D10" s="195" t="s">
        <v>511</v>
      </c>
      <c r="E10" s="195" t="s">
        <v>18</v>
      </c>
      <c r="F10" s="195" t="s">
        <v>193</v>
      </c>
      <c r="G10" s="195" t="s">
        <v>511</v>
      </c>
      <c r="H10" s="195" t="s">
        <v>18</v>
      </c>
      <c r="I10" s="737" t="s">
        <v>787</v>
      </c>
      <c r="J10" s="195" t="s">
        <v>511</v>
      </c>
      <c r="K10" s="195" t="s">
        <v>93</v>
      </c>
      <c r="L10" s="195" t="s">
        <v>193</v>
      </c>
      <c r="M10" s="195" t="s">
        <v>511</v>
      </c>
      <c r="N10" s="195" t="s">
        <v>93</v>
      </c>
      <c r="O10" s="659" t="s">
        <v>763</v>
      </c>
      <c r="P10" s="659" t="s">
        <v>764</v>
      </c>
      <c r="Q10" s="195" t="s">
        <v>407</v>
      </c>
    </row>
    <row r="11" spans="1:22" s="50" customFormat="1" x14ac:dyDescent="0.2">
      <c r="A11" s="252">
        <v>1</v>
      </c>
      <c r="B11" s="252">
        <v>2</v>
      </c>
      <c r="C11" s="252">
        <v>3</v>
      </c>
      <c r="D11" s="252">
        <v>4</v>
      </c>
      <c r="E11" s="252">
        <v>5</v>
      </c>
      <c r="F11" s="252">
        <v>6</v>
      </c>
      <c r="G11" s="252">
        <v>7</v>
      </c>
      <c r="H11" s="252">
        <v>8</v>
      </c>
      <c r="I11" s="252">
        <v>9</v>
      </c>
      <c r="J11" s="252">
        <v>10</v>
      </c>
      <c r="K11" s="252">
        <v>11</v>
      </c>
      <c r="L11" s="252">
        <v>12</v>
      </c>
      <c r="M11" s="252">
        <v>13</v>
      </c>
      <c r="N11" s="252">
        <v>14</v>
      </c>
      <c r="O11" s="252">
        <v>15</v>
      </c>
      <c r="P11" s="252">
        <v>16</v>
      </c>
      <c r="Q11" s="252">
        <v>17</v>
      </c>
      <c r="R11" s="660"/>
      <c r="S11" s="851"/>
      <c r="T11" s="660"/>
    </row>
    <row r="12" spans="1:22" ht="24.95" customHeight="1" x14ac:dyDescent="0.2">
      <c r="A12" s="194">
        <v>1</v>
      </c>
      <c r="B12" s="225" t="s">
        <v>392</v>
      </c>
      <c r="C12" s="203">
        <v>226.44</v>
      </c>
      <c r="D12" s="203">
        <v>24.96</v>
      </c>
      <c r="E12" s="203">
        <f>C12+D12</f>
        <v>251.4</v>
      </c>
      <c r="F12" s="203">
        <v>29.25</v>
      </c>
      <c r="G12" s="203">
        <v>3.22</v>
      </c>
      <c r="H12" s="203">
        <f>F12+G12</f>
        <v>32.47</v>
      </c>
      <c r="I12" s="203">
        <v>197.19</v>
      </c>
      <c r="J12" s="203">
        <v>21.73</v>
      </c>
      <c r="K12" s="203">
        <f>I12+J12</f>
        <v>218.92</v>
      </c>
      <c r="L12" s="203">
        <v>198.01</v>
      </c>
      <c r="M12" s="203">
        <v>21.82</v>
      </c>
      <c r="N12" s="203">
        <f>L12+M12</f>
        <v>219.82999999999998</v>
      </c>
      <c r="O12" s="203">
        <f>F12+I12-L12</f>
        <v>28.430000000000007</v>
      </c>
      <c r="P12" s="253">
        <f>G12+J12-M12</f>
        <v>3.129999999999999</v>
      </c>
      <c r="Q12" s="203">
        <f>H12+K12-N12</f>
        <v>31.560000000000002</v>
      </c>
      <c r="R12" s="660"/>
      <c r="S12" s="851"/>
      <c r="T12" s="851"/>
      <c r="U12" s="50"/>
      <c r="V12" s="50"/>
    </row>
    <row r="13" spans="1:22" ht="24.95" customHeight="1" x14ac:dyDescent="0.2">
      <c r="A13" s="194">
        <v>2</v>
      </c>
      <c r="B13" s="225" t="s">
        <v>393</v>
      </c>
      <c r="C13" s="203">
        <v>115.81</v>
      </c>
      <c r="D13" s="203">
        <v>12.76</v>
      </c>
      <c r="E13" s="203">
        <f t="shared" ref="E13:E24" si="0">C13+D13</f>
        <v>128.57</v>
      </c>
      <c r="F13" s="203">
        <v>3.01</v>
      </c>
      <c r="G13" s="203">
        <v>0.33</v>
      </c>
      <c r="H13" s="203">
        <f t="shared" ref="H13:H24" si="1">F13+G13</f>
        <v>3.34</v>
      </c>
      <c r="I13" s="203">
        <v>112.8</v>
      </c>
      <c r="J13" s="203">
        <v>12.43</v>
      </c>
      <c r="K13" s="203">
        <f t="shared" ref="K13:K24" si="2">I13+J13</f>
        <v>125.22999999999999</v>
      </c>
      <c r="L13" s="203">
        <v>100.95</v>
      </c>
      <c r="M13" s="203">
        <v>11.13</v>
      </c>
      <c r="N13" s="203">
        <f t="shared" ref="N13:N24" si="3">L13+M13</f>
        <v>112.08</v>
      </c>
      <c r="O13" s="203">
        <f t="shared" ref="O13:O23" si="4">F13+I13-L13</f>
        <v>14.86</v>
      </c>
      <c r="P13" s="203">
        <f t="shared" ref="P13:P24" si="5">G13+J13-M13</f>
        <v>1.629999999999999</v>
      </c>
      <c r="Q13" s="203">
        <f t="shared" ref="Q13:Q24" si="6">H13+K13-N13</f>
        <v>16.489999999999995</v>
      </c>
      <c r="R13" s="660"/>
      <c r="S13" s="851"/>
      <c r="T13" s="851"/>
      <c r="U13" s="50"/>
      <c r="V13" s="50"/>
    </row>
    <row r="14" spans="1:22" ht="24.95" customHeight="1" x14ac:dyDescent="0.2">
      <c r="A14" s="194">
        <v>3</v>
      </c>
      <c r="B14" s="225" t="s">
        <v>394</v>
      </c>
      <c r="C14" s="203">
        <v>180.45</v>
      </c>
      <c r="D14" s="203">
        <v>19.89</v>
      </c>
      <c r="E14" s="203">
        <f t="shared" si="0"/>
        <v>200.33999999999997</v>
      </c>
      <c r="F14" s="203">
        <v>6.48</v>
      </c>
      <c r="G14" s="203">
        <v>0.71</v>
      </c>
      <c r="H14" s="203">
        <f t="shared" si="1"/>
        <v>7.19</v>
      </c>
      <c r="I14" s="203">
        <v>173.96</v>
      </c>
      <c r="J14" s="203">
        <v>19.170000000000002</v>
      </c>
      <c r="K14" s="203">
        <f t="shared" si="2"/>
        <v>193.13</v>
      </c>
      <c r="L14" s="203">
        <v>166.02</v>
      </c>
      <c r="M14" s="203">
        <v>18.3</v>
      </c>
      <c r="N14" s="203">
        <f t="shared" si="3"/>
        <v>184.32000000000002</v>
      </c>
      <c r="O14" s="203">
        <f t="shared" si="4"/>
        <v>14.419999999999987</v>
      </c>
      <c r="P14" s="203">
        <f t="shared" si="5"/>
        <v>1.5800000000000018</v>
      </c>
      <c r="Q14" s="203">
        <f t="shared" si="6"/>
        <v>15.999999999999972</v>
      </c>
      <c r="R14" s="660"/>
      <c r="S14" s="851"/>
      <c r="T14" s="851"/>
      <c r="U14" s="50"/>
      <c r="V14" s="50"/>
    </row>
    <row r="15" spans="1:22" ht="24.95" customHeight="1" x14ac:dyDescent="0.2">
      <c r="A15" s="194">
        <v>4</v>
      </c>
      <c r="B15" s="225" t="s">
        <v>395</v>
      </c>
      <c r="C15" s="203">
        <v>110.46</v>
      </c>
      <c r="D15" s="203">
        <v>12.17</v>
      </c>
      <c r="E15" s="203">
        <f t="shared" si="0"/>
        <v>122.63</v>
      </c>
      <c r="F15" s="203">
        <v>9.7899999999999991</v>
      </c>
      <c r="G15" s="203">
        <v>1.08</v>
      </c>
      <c r="H15" s="203">
        <f t="shared" si="1"/>
        <v>10.87</v>
      </c>
      <c r="I15" s="203">
        <v>100.67</v>
      </c>
      <c r="J15" s="203">
        <v>11.1</v>
      </c>
      <c r="K15" s="203">
        <f t="shared" si="2"/>
        <v>111.77</v>
      </c>
      <c r="L15" s="203">
        <v>94.37</v>
      </c>
      <c r="M15" s="203">
        <v>10.4</v>
      </c>
      <c r="N15" s="203">
        <f t="shared" si="3"/>
        <v>104.77000000000001</v>
      </c>
      <c r="O15" s="203">
        <f t="shared" si="4"/>
        <v>16.090000000000003</v>
      </c>
      <c r="P15" s="203">
        <f t="shared" si="5"/>
        <v>1.7799999999999994</v>
      </c>
      <c r="Q15" s="203">
        <f t="shared" si="6"/>
        <v>17.86999999999999</v>
      </c>
      <c r="R15" s="660"/>
      <c r="S15" s="851"/>
      <c r="T15" s="851"/>
      <c r="U15" s="50"/>
      <c r="V15" s="50"/>
    </row>
    <row r="16" spans="1:22" ht="24.95" customHeight="1" x14ac:dyDescent="0.2">
      <c r="A16" s="194">
        <v>5</v>
      </c>
      <c r="B16" s="227" t="s">
        <v>396</v>
      </c>
      <c r="C16" s="203">
        <v>331.93</v>
      </c>
      <c r="D16" s="203">
        <v>36.58</v>
      </c>
      <c r="E16" s="203">
        <f t="shared" si="0"/>
        <v>368.51</v>
      </c>
      <c r="F16" s="203">
        <v>27.08</v>
      </c>
      <c r="G16" s="203">
        <v>2.98</v>
      </c>
      <c r="H16" s="203">
        <f t="shared" si="1"/>
        <v>30.06</v>
      </c>
      <c r="I16" s="203">
        <v>304.85000000000002</v>
      </c>
      <c r="J16" s="203">
        <v>33.6</v>
      </c>
      <c r="K16" s="203">
        <f t="shared" si="2"/>
        <v>338.45000000000005</v>
      </c>
      <c r="L16" s="203">
        <v>295.89</v>
      </c>
      <c r="M16" s="203">
        <v>32.61</v>
      </c>
      <c r="N16" s="203">
        <f t="shared" si="3"/>
        <v>328.5</v>
      </c>
      <c r="O16" s="203">
        <f t="shared" si="4"/>
        <v>36.04000000000002</v>
      </c>
      <c r="P16" s="203">
        <f t="shared" si="5"/>
        <v>3.9699999999999989</v>
      </c>
      <c r="Q16" s="203">
        <f t="shared" si="6"/>
        <v>40.010000000000048</v>
      </c>
      <c r="R16" s="660"/>
      <c r="S16" s="851"/>
      <c r="T16" s="851"/>
      <c r="U16" s="50"/>
      <c r="V16" s="50"/>
    </row>
    <row r="17" spans="1:22" ht="26.25" customHeight="1" x14ac:dyDescent="0.2">
      <c r="A17" s="194">
        <v>6</v>
      </c>
      <c r="B17" s="225" t="s">
        <v>397</v>
      </c>
      <c r="C17" s="203">
        <v>656.48</v>
      </c>
      <c r="D17" s="203">
        <v>72.349999999999994</v>
      </c>
      <c r="E17" s="203">
        <f t="shared" si="0"/>
        <v>728.83</v>
      </c>
      <c r="F17" s="203">
        <v>19.940000000000001</v>
      </c>
      <c r="G17" s="203">
        <v>2.16</v>
      </c>
      <c r="H17" s="203">
        <f t="shared" si="1"/>
        <v>22.1</v>
      </c>
      <c r="I17" s="203">
        <v>636.54</v>
      </c>
      <c r="J17" s="203">
        <v>70.2</v>
      </c>
      <c r="K17" s="203">
        <f>I17+J17</f>
        <v>706.74</v>
      </c>
      <c r="L17" s="203">
        <v>534.41</v>
      </c>
      <c r="M17" s="203">
        <v>58.9</v>
      </c>
      <c r="N17" s="203">
        <f t="shared" si="3"/>
        <v>593.30999999999995</v>
      </c>
      <c r="O17" s="203">
        <f t="shared" si="4"/>
        <v>122.07000000000005</v>
      </c>
      <c r="P17" s="203">
        <f t="shared" si="5"/>
        <v>13.46</v>
      </c>
      <c r="Q17" s="203">
        <f t="shared" si="6"/>
        <v>135.53000000000009</v>
      </c>
      <c r="R17" s="660"/>
      <c r="S17" s="851"/>
      <c r="T17" s="851"/>
      <c r="U17" s="50"/>
      <c r="V17" s="50"/>
    </row>
    <row r="18" spans="1:22" ht="24.95" customHeight="1" x14ac:dyDescent="0.2">
      <c r="A18" s="194">
        <v>7</v>
      </c>
      <c r="B18" s="227" t="s">
        <v>398</v>
      </c>
      <c r="C18" s="203">
        <v>286.20999999999998</v>
      </c>
      <c r="D18" s="203">
        <v>31.54</v>
      </c>
      <c r="E18" s="203">
        <f t="shared" si="0"/>
        <v>317.75</v>
      </c>
      <c r="F18" s="203">
        <v>15.62</v>
      </c>
      <c r="G18" s="203">
        <v>1.72</v>
      </c>
      <c r="H18" s="203">
        <f t="shared" si="1"/>
        <v>17.34</v>
      </c>
      <c r="I18" s="203">
        <v>270.58999999999997</v>
      </c>
      <c r="J18" s="203">
        <v>29.82</v>
      </c>
      <c r="K18" s="203">
        <f t="shared" si="2"/>
        <v>300.40999999999997</v>
      </c>
      <c r="L18" s="203">
        <v>272.52999999999997</v>
      </c>
      <c r="M18" s="203">
        <v>30.04</v>
      </c>
      <c r="N18" s="203">
        <f t="shared" si="3"/>
        <v>302.57</v>
      </c>
      <c r="O18" s="203">
        <f t="shared" si="4"/>
        <v>13.680000000000007</v>
      </c>
      <c r="P18" s="203">
        <f t="shared" si="5"/>
        <v>1.5</v>
      </c>
      <c r="Q18" s="203">
        <f t="shared" si="6"/>
        <v>15.17999999999995</v>
      </c>
      <c r="R18" s="660"/>
      <c r="S18" s="851"/>
      <c r="T18" s="851"/>
      <c r="U18" s="50"/>
      <c r="V18" s="50"/>
    </row>
    <row r="19" spans="1:22" ht="24.95" customHeight="1" x14ac:dyDescent="0.2">
      <c r="A19" s="194">
        <v>8</v>
      </c>
      <c r="B19" s="225" t="s">
        <v>399</v>
      </c>
      <c r="C19" s="203">
        <v>230.18</v>
      </c>
      <c r="D19" s="203">
        <v>25.37</v>
      </c>
      <c r="E19" s="203">
        <f t="shared" si="0"/>
        <v>255.55</v>
      </c>
      <c r="F19" s="203">
        <v>30.74</v>
      </c>
      <c r="G19" s="203">
        <v>3.4</v>
      </c>
      <c r="H19" s="203">
        <f t="shared" si="1"/>
        <v>34.14</v>
      </c>
      <c r="I19" s="203">
        <v>199.44</v>
      </c>
      <c r="J19" s="203">
        <v>21.97</v>
      </c>
      <c r="K19" s="203">
        <f t="shared" si="2"/>
        <v>221.41</v>
      </c>
      <c r="L19" s="203">
        <v>202.9</v>
      </c>
      <c r="M19" s="203">
        <v>22.36</v>
      </c>
      <c r="N19" s="203">
        <f t="shared" si="3"/>
        <v>225.26</v>
      </c>
      <c r="O19" s="203">
        <f t="shared" si="4"/>
        <v>27.28</v>
      </c>
      <c r="P19" s="203">
        <f t="shared" si="5"/>
        <v>3.009999999999998</v>
      </c>
      <c r="Q19" s="203">
        <f t="shared" si="6"/>
        <v>30.29000000000002</v>
      </c>
      <c r="R19" s="660"/>
      <c r="S19" s="851"/>
      <c r="T19" s="851"/>
      <c r="U19" s="50"/>
      <c r="V19" s="50"/>
    </row>
    <row r="20" spans="1:22" ht="24.95" customHeight="1" x14ac:dyDescent="0.2">
      <c r="A20" s="194">
        <v>9</v>
      </c>
      <c r="B20" s="225" t="s">
        <v>400</v>
      </c>
      <c r="C20" s="203">
        <v>172.18</v>
      </c>
      <c r="D20" s="203">
        <v>18.98</v>
      </c>
      <c r="E20" s="203">
        <f t="shared" si="0"/>
        <v>191.16</v>
      </c>
      <c r="F20" s="203">
        <v>3.88</v>
      </c>
      <c r="G20" s="203">
        <v>0.42</v>
      </c>
      <c r="H20" s="203">
        <f t="shared" si="1"/>
        <v>4.3</v>
      </c>
      <c r="I20" s="203">
        <v>168.31</v>
      </c>
      <c r="J20" s="203">
        <v>18.559999999999999</v>
      </c>
      <c r="K20" s="203">
        <f t="shared" si="2"/>
        <v>186.87</v>
      </c>
      <c r="L20" s="203">
        <v>156.15</v>
      </c>
      <c r="M20" s="203">
        <v>17.21</v>
      </c>
      <c r="N20" s="203">
        <f t="shared" si="3"/>
        <v>173.36</v>
      </c>
      <c r="O20" s="203">
        <f t="shared" si="4"/>
        <v>16.039999999999992</v>
      </c>
      <c r="P20" s="203">
        <f t="shared" si="5"/>
        <v>1.7699999999999996</v>
      </c>
      <c r="Q20" s="203">
        <f t="shared" si="6"/>
        <v>17.810000000000002</v>
      </c>
      <c r="R20" s="660"/>
      <c r="S20" s="851"/>
      <c r="T20" s="851"/>
      <c r="U20" s="50"/>
      <c r="V20" s="50"/>
    </row>
    <row r="21" spans="1:22" ht="24.95" customHeight="1" x14ac:dyDescent="0.2">
      <c r="A21" s="194">
        <v>10</v>
      </c>
      <c r="B21" s="225" t="s">
        <v>401</v>
      </c>
      <c r="C21" s="203">
        <v>115.41</v>
      </c>
      <c r="D21" s="203">
        <v>12.72</v>
      </c>
      <c r="E21" s="203">
        <f t="shared" si="0"/>
        <v>128.13</v>
      </c>
      <c r="F21" s="203">
        <v>8.43</v>
      </c>
      <c r="G21" s="203">
        <v>0.93</v>
      </c>
      <c r="H21" s="203">
        <f t="shared" si="1"/>
        <v>9.36</v>
      </c>
      <c r="I21" s="203">
        <v>106.98</v>
      </c>
      <c r="J21" s="203">
        <v>11.79</v>
      </c>
      <c r="K21" s="203">
        <f t="shared" si="2"/>
        <v>118.77000000000001</v>
      </c>
      <c r="L21" s="203">
        <v>105.73</v>
      </c>
      <c r="M21" s="203">
        <v>11.65</v>
      </c>
      <c r="N21" s="203">
        <f t="shared" si="3"/>
        <v>117.38000000000001</v>
      </c>
      <c r="O21" s="203">
        <f t="shared" si="4"/>
        <v>9.6799999999999926</v>
      </c>
      <c r="P21" s="203">
        <f t="shared" si="5"/>
        <v>1.0699999999999985</v>
      </c>
      <c r="Q21" s="203">
        <f t="shared" si="6"/>
        <v>10.749999999999986</v>
      </c>
      <c r="R21" s="660"/>
      <c r="S21" s="851"/>
      <c r="T21" s="851"/>
      <c r="U21" s="50"/>
      <c r="V21" s="50"/>
    </row>
    <row r="22" spans="1:22" ht="24.95" customHeight="1" x14ac:dyDescent="0.2">
      <c r="A22" s="194">
        <v>11</v>
      </c>
      <c r="B22" s="225" t="s">
        <v>402</v>
      </c>
      <c r="C22" s="203">
        <v>279.61</v>
      </c>
      <c r="D22" s="203">
        <v>30.82</v>
      </c>
      <c r="E22" s="203">
        <f t="shared" si="0"/>
        <v>310.43</v>
      </c>
      <c r="F22" s="203">
        <v>27.39</v>
      </c>
      <c r="G22" s="203">
        <v>3.03</v>
      </c>
      <c r="H22" s="203">
        <f t="shared" si="1"/>
        <v>30.42</v>
      </c>
      <c r="I22" s="203">
        <v>252.22</v>
      </c>
      <c r="J22" s="203">
        <v>27.79</v>
      </c>
      <c r="K22" s="203">
        <f t="shared" si="2"/>
        <v>280.01</v>
      </c>
      <c r="L22" s="203">
        <v>239.3</v>
      </c>
      <c r="M22" s="203">
        <v>26.37</v>
      </c>
      <c r="N22" s="203">
        <f t="shared" si="3"/>
        <v>265.67</v>
      </c>
      <c r="O22" s="203">
        <f t="shared" si="4"/>
        <v>40.31</v>
      </c>
      <c r="P22" s="203">
        <f t="shared" si="5"/>
        <v>4.4499999999999993</v>
      </c>
      <c r="Q22" s="203">
        <f t="shared" si="6"/>
        <v>44.759999999999991</v>
      </c>
      <c r="R22" s="660"/>
      <c r="S22" s="851"/>
      <c r="T22" s="851"/>
      <c r="U22" s="50"/>
      <c r="V22" s="50"/>
    </row>
    <row r="23" spans="1:22" ht="24.95" customHeight="1" x14ac:dyDescent="0.2">
      <c r="A23" s="194">
        <v>12</v>
      </c>
      <c r="B23" s="225" t="s">
        <v>403</v>
      </c>
      <c r="C23" s="203">
        <v>547.72</v>
      </c>
      <c r="D23" s="203">
        <v>60.37</v>
      </c>
      <c r="E23" s="203">
        <f t="shared" si="0"/>
        <v>608.09</v>
      </c>
      <c r="F23" s="203">
        <v>59.78</v>
      </c>
      <c r="G23" s="203">
        <v>6.63</v>
      </c>
      <c r="H23" s="203">
        <f t="shared" si="1"/>
        <v>66.41</v>
      </c>
      <c r="I23" s="203">
        <v>487.94</v>
      </c>
      <c r="J23" s="203">
        <v>53.74</v>
      </c>
      <c r="K23" s="203">
        <f t="shared" si="2"/>
        <v>541.67999999999995</v>
      </c>
      <c r="L23" s="203">
        <v>479.32</v>
      </c>
      <c r="M23" s="203">
        <v>52.83</v>
      </c>
      <c r="N23" s="203">
        <f t="shared" si="3"/>
        <v>532.15</v>
      </c>
      <c r="O23" s="203">
        <f t="shared" si="4"/>
        <v>68.400000000000034</v>
      </c>
      <c r="P23" s="203">
        <f t="shared" si="5"/>
        <v>7.5400000000000063</v>
      </c>
      <c r="Q23" s="203">
        <f t="shared" si="6"/>
        <v>75.939999999999941</v>
      </c>
      <c r="R23" s="660"/>
      <c r="S23" s="851"/>
      <c r="T23" s="851"/>
      <c r="U23" s="50"/>
      <c r="V23" s="50"/>
    </row>
    <row r="24" spans="1:22" ht="24.95" customHeight="1" x14ac:dyDescent="0.2">
      <c r="A24" s="194">
        <v>13</v>
      </c>
      <c r="B24" s="225" t="s">
        <v>404</v>
      </c>
      <c r="C24" s="203">
        <v>164.83</v>
      </c>
      <c r="D24" s="203">
        <v>18.170000000000002</v>
      </c>
      <c r="E24" s="203">
        <f t="shared" si="0"/>
        <v>183</v>
      </c>
      <c r="F24" s="203">
        <v>18.46</v>
      </c>
      <c r="G24" s="203">
        <v>2.04</v>
      </c>
      <c r="H24" s="203">
        <f t="shared" si="1"/>
        <v>20.5</v>
      </c>
      <c r="I24" s="203">
        <v>146.37</v>
      </c>
      <c r="J24" s="203">
        <v>16.13</v>
      </c>
      <c r="K24" s="203">
        <f t="shared" si="2"/>
        <v>162.5</v>
      </c>
      <c r="L24" s="203">
        <v>144.62</v>
      </c>
      <c r="M24" s="203">
        <v>15.94</v>
      </c>
      <c r="N24" s="203">
        <f t="shared" si="3"/>
        <v>160.56</v>
      </c>
      <c r="O24" s="203">
        <f>F24+I24-L24</f>
        <v>20.210000000000008</v>
      </c>
      <c r="P24" s="203">
        <f t="shared" si="5"/>
        <v>2.2299999999999986</v>
      </c>
      <c r="Q24" s="203">
        <f t="shared" si="6"/>
        <v>22.439999999999998</v>
      </c>
      <c r="R24" s="660"/>
      <c r="S24" s="851"/>
      <c r="T24" s="851"/>
      <c r="U24" s="50"/>
      <c r="V24" s="50"/>
    </row>
    <row r="25" spans="1:22" ht="20.100000000000001" customHeight="1" x14ac:dyDescent="0.2">
      <c r="A25" s="1072" t="s">
        <v>18</v>
      </c>
      <c r="B25" s="1072"/>
      <c r="C25" s="204">
        <f>SUM(C12:C24)</f>
        <v>3417.71</v>
      </c>
      <c r="D25" s="204">
        <f t="shared" ref="D25:E25" si="7">SUM(D12:D24)</f>
        <v>376.68</v>
      </c>
      <c r="E25" s="204">
        <f t="shared" si="7"/>
        <v>3794.39</v>
      </c>
      <c r="F25" s="204">
        <f t="shared" ref="F25:Q25" si="8">SUM(F12:F24)</f>
        <v>259.85000000000002</v>
      </c>
      <c r="G25" s="204">
        <f t="shared" si="8"/>
        <v>28.650000000000002</v>
      </c>
      <c r="H25" s="204">
        <f t="shared" si="8"/>
        <v>288.5</v>
      </c>
      <c r="I25" s="204">
        <f t="shared" si="8"/>
        <v>3157.8599999999997</v>
      </c>
      <c r="J25" s="204">
        <f t="shared" si="8"/>
        <v>348.03000000000003</v>
      </c>
      <c r="K25" s="204">
        <f t="shared" si="8"/>
        <v>3505.89</v>
      </c>
      <c r="L25" s="204">
        <f t="shared" si="8"/>
        <v>2990.2000000000003</v>
      </c>
      <c r="M25" s="204">
        <f t="shared" si="8"/>
        <v>329.56</v>
      </c>
      <c r="N25" s="204">
        <f t="shared" si="8"/>
        <v>3319.76</v>
      </c>
      <c r="O25" s="204">
        <f t="shared" si="8"/>
        <v>427.5100000000001</v>
      </c>
      <c r="P25" s="204">
        <f t="shared" si="8"/>
        <v>47.12</v>
      </c>
      <c r="Q25" s="204">
        <f t="shared" si="8"/>
        <v>474.63</v>
      </c>
      <c r="R25" s="660"/>
      <c r="S25" s="660"/>
      <c r="T25" s="660"/>
    </row>
    <row r="26" spans="1:22" s="641" customFormat="1" ht="20.100000000000001" customHeight="1" x14ac:dyDescent="0.2">
      <c r="A26" s="649" t="s">
        <v>754</v>
      </c>
      <c r="B26" s="646"/>
      <c r="C26" s="646"/>
      <c r="D26" s="646"/>
      <c r="E26" s="646"/>
      <c r="F26" s="646"/>
      <c r="G26" s="646"/>
      <c r="H26" s="646"/>
      <c r="I26" s="646"/>
      <c r="J26" s="922">
        <f>I25/9</f>
        <v>350.87333333333328</v>
      </c>
      <c r="K26" s="646"/>
      <c r="L26" s="645">
        <f>G25+J25</f>
        <v>376.68</v>
      </c>
      <c r="M26" s="646"/>
      <c r="N26" s="646"/>
      <c r="O26" s="646"/>
      <c r="P26" s="646"/>
      <c r="Q26" s="646"/>
    </row>
    <row r="27" spans="1:22" x14ac:dyDescent="0.2">
      <c r="A27" s="647" t="s">
        <v>509</v>
      </c>
      <c r="B27" s="647"/>
      <c r="C27" s="647"/>
      <c r="D27" s="647"/>
      <c r="E27" s="647"/>
      <c r="F27" s="647"/>
      <c r="G27" s="647"/>
      <c r="H27" s="647"/>
      <c r="I27" s="647"/>
      <c r="J27" s="647"/>
      <c r="K27" s="647"/>
      <c r="L27" s="647"/>
      <c r="M27" s="647"/>
      <c r="N27" s="647"/>
      <c r="O27" s="647"/>
      <c r="P27" s="648"/>
      <c r="Q27" s="648"/>
    </row>
    <row r="28" spans="1:22" x14ac:dyDescent="0.2">
      <c r="A28" s="1151" t="s">
        <v>512</v>
      </c>
      <c r="B28" s="1151"/>
      <c r="C28" s="1151"/>
      <c r="D28" s="1151"/>
      <c r="E28" s="1151"/>
      <c r="F28" s="1151"/>
      <c r="G28" s="1151"/>
      <c r="H28" s="1151"/>
      <c r="I28" s="1151"/>
      <c r="J28" s="1151"/>
      <c r="K28" s="1151"/>
      <c r="L28" s="1151"/>
      <c r="M28" s="1151"/>
      <c r="N28" s="1151"/>
      <c r="O28" s="1151"/>
      <c r="P28" s="1151"/>
      <c r="Q28" s="1151"/>
    </row>
    <row r="29" spans="1:22" x14ac:dyDescent="0.2">
      <c r="A29" s="11" t="s">
        <v>11</v>
      </c>
      <c r="B29" s="11"/>
      <c r="C29" s="11"/>
      <c r="D29" s="11"/>
      <c r="E29" s="11"/>
      <c r="F29" s="11"/>
      <c r="G29" s="11"/>
      <c r="H29" s="11"/>
      <c r="I29" s="11"/>
      <c r="J29" s="11"/>
      <c r="K29" s="11"/>
      <c r="L29" s="11"/>
      <c r="M29" s="11"/>
      <c r="P29" s="1086" t="s">
        <v>12</v>
      </c>
      <c r="Q29" s="1086"/>
    </row>
    <row r="30" spans="1:22" ht="12.75" customHeight="1" x14ac:dyDescent="0.2">
      <c r="A30" s="1086" t="s">
        <v>13</v>
      </c>
      <c r="B30" s="1086"/>
      <c r="C30" s="1086"/>
      <c r="D30" s="1086"/>
      <c r="E30" s="1086"/>
      <c r="F30" s="1086"/>
      <c r="G30" s="1086"/>
      <c r="H30" s="1086"/>
      <c r="I30" s="1086"/>
      <c r="J30" s="1086"/>
      <c r="K30" s="1086"/>
      <c r="L30" s="1086"/>
      <c r="M30" s="1086"/>
      <c r="N30" s="1086"/>
      <c r="O30" s="1086"/>
      <c r="P30" s="1086"/>
      <c r="Q30" s="1086"/>
    </row>
    <row r="31" spans="1:22" ht="12.75" customHeight="1" x14ac:dyDescent="0.2">
      <c r="A31" s="1086" t="s">
        <v>19</v>
      </c>
      <c r="B31" s="1086"/>
      <c r="C31" s="1086"/>
      <c r="D31" s="1086"/>
      <c r="E31" s="1086"/>
      <c r="F31" s="1086"/>
      <c r="G31" s="1086"/>
      <c r="H31" s="1086"/>
      <c r="I31" s="1086"/>
      <c r="J31" s="1086"/>
      <c r="K31" s="1086"/>
      <c r="L31" s="1086"/>
      <c r="M31" s="1086"/>
      <c r="N31" s="1086"/>
      <c r="O31" s="1086"/>
      <c r="P31" s="1086"/>
      <c r="Q31" s="1086"/>
    </row>
    <row r="32" spans="1:22" x14ac:dyDescent="0.2">
      <c r="B32" s="11"/>
      <c r="C32" s="11"/>
      <c r="D32" s="11"/>
      <c r="E32" s="11"/>
      <c r="F32" s="11"/>
      <c r="G32" s="11"/>
      <c r="H32" s="11"/>
      <c r="I32" s="11"/>
      <c r="J32" s="11"/>
      <c r="K32" s="11"/>
      <c r="L32" s="11"/>
      <c r="M32" s="11"/>
      <c r="O32" s="1000" t="s">
        <v>85</v>
      </c>
      <c r="P32" s="1000"/>
      <c r="Q32" s="1000"/>
      <c r="R32" s="1000"/>
    </row>
    <row r="34" spans="3:18" x14ac:dyDescent="0.2">
      <c r="C34" s="641">
        <f>'T7ACC_UPY_Utlsn '!C24</f>
        <v>3553.48</v>
      </c>
      <c r="D34" s="911">
        <f>'T7ACC_UPY_Utlsn '!D24</f>
        <v>396.25</v>
      </c>
      <c r="E34" s="911">
        <f>'T7ACC_UPY_Utlsn '!E24</f>
        <v>3949.73</v>
      </c>
      <c r="F34" s="911">
        <f>'T7ACC_UPY_Utlsn '!F24</f>
        <v>449.5</v>
      </c>
      <c r="G34" s="911">
        <f>'T7ACC_UPY_Utlsn '!G24</f>
        <v>50.129999999999995</v>
      </c>
      <c r="H34" s="911">
        <f>'T7ACC_UPY_Utlsn '!H24</f>
        <v>499.63</v>
      </c>
      <c r="I34" s="911">
        <f>'T7ACC_UPY_Utlsn '!I24</f>
        <v>3103.98</v>
      </c>
      <c r="J34" s="911">
        <f>'T7ACC_UPY_Utlsn '!J24</f>
        <v>346.12</v>
      </c>
      <c r="K34" s="911">
        <f>'T7ACC_UPY_Utlsn '!K24</f>
        <v>3450.1000000000004</v>
      </c>
      <c r="L34" s="911">
        <f>'T7ACC_UPY_Utlsn '!L24</f>
        <v>3085.1499999999996</v>
      </c>
      <c r="M34" s="911">
        <f>'T7ACC_UPY_Utlsn '!M24</f>
        <v>344.03</v>
      </c>
      <c r="N34" s="911">
        <f>'T7ACC_UPY_Utlsn '!N24</f>
        <v>3429.1800000000007</v>
      </c>
      <c r="O34" s="911">
        <f>'T7ACC_UPY_Utlsn '!O24</f>
        <v>468.33000000000004</v>
      </c>
      <c r="P34" s="911">
        <f>'T7ACC_UPY_Utlsn '!P24</f>
        <v>52.220000000000006</v>
      </c>
      <c r="Q34" s="911">
        <f>'T7ACC_UPY_Utlsn '!Q24</f>
        <v>520.55000000000018</v>
      </c>
      <c r="R34" s="641"/>
    </row>
    <row r="35" spans="3:18" x14ac:dyDescent="0.2">
      <c r="C35" s="918">
        <f>C25+C34</f>
        <v>6971.1900000000005</v>
      </c>
      <c r="D35" s="918">
        <f t="shared" ref="D35:Q35" si="9">D25+D34</f>
        <v>772.93000000000006</v>
      </c>
      <c r="E35" s="918">
        <f t="shared" si="9"/>
        <v>7744.12</v>
      </c>
      <c r="F35" s="918">
        <f t="shared" si="9"/>
        <v>709.35</v>
      </c>
      <c r="G35" s="918">
        <f t="shared" si="9"/>
        <v>78.78</v>
      </c>
      <c r="H35" s="918">
        <f t="shared" si="9"/>
        <v>788.13</v>
      </c>
      <c r="I35" s="918">
        <f t="shared" si="9"/>
        <v>6261.84</v>
      </c>
      <c r="J35" s="918">
        <f t="shared" si="9"/>
        <v>694.15000000000009</v>
      </c>
      <c r="K35" s="918">
        <f t="shared" si="9"/>
        <v>6955.99</v>
      </c>
      <c r="L35" s="918">
        <f t="shared" si="9"/>
        <v>6075.35</v>
      </c>
      <c r="M35" s="918">
        <f t="shared" si="9"/>
        <v>673.58999999999992</v>
      </c>
      <c r="N35" s="918">
        <f t="shared" si="9"/>
        <v>6748.9400000000005</v>
      </c>
      <c r="O35" s="918">
        <f t="shared" si="9"/>
        <v>895.84000000000015</v>
      </c>
      <c r="P35" s="918">
        <f t="shared" si="9"/>
        <v>99.34</v>
      </c>
      <c r="Q35" s="918">
        <f t="shared" si="9"/>
        <v>995.18000000000018</v>
      </c>
    </row>
    <row r="37" spans="3:18" x14ac:dyDescent="0.2">
      <c r="L37" s="925">
        <f>L35/(F35+I35)</f>
        <v>0.87149396301061943</v>
      </c>
    </row>
  </sheetData>
  <mergeCells count="19">
    <mergeCell ref="O32:R32"/>
    <mergeCell ref="O9:Q9"/>
    <mergeCell ref="L9:N9"/>
    <mergeCell ref="A30:Q30"/>
    <mergeCell ref="P29:Q29"/>
    <mergeCell ref="C9:E9"/>
    <mergeCell ref="F9:H9"/>
    <mergeCell ref="A28:Q28"/>
    <mergeCell ref="A25:B25"/>
    <mergeCell ref="P1:Q1"/>
    <mergeCell ref="A2:Q2"/>
    <mergeCell ref="A3:Q3"/>
    <mergeCell ref="A31:Q31"/>
    <mergeCell ref="N8:Q8"/>
    <mergeCell ref="A4:Q4"/>
    <mergeCell ref="A9:A10"/>
    <mergeCell ref="B9:B10"/>
    <mergeCell ref="I9:K9"/>
    <mergeCell ref="A8:C8"/>
  </mergeCells>
  <phoneticPr fontId="0" type="noConversion"/>
  <printOptions horizontalCentered="1"/>
  <pageMargins left="0.70866141732283472" right="0.55000000000000004" top="0.23622047244094491" bottom="0" header="0.31496062992125984" footer="0.31496062992125984"/>
  <pageSetup paperSize="9" scale="9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00000"/>
    <pageSetUpPr fitToPage="1"/>
  </sheetPr>
  <dimension ref="A1:V36"/>
  <sheetViews>
    <sheetView view="pageBreakPreview" topLeftCell="A14" zoomScaleSheetLayoutView="100" workbookViewId="0">
      <selection activeCell="L25" sqref="L25"/>
    </sheetView>
  </sheetViews>
  <sheetFormatPr defaultRowHeight="12.75" x14ac:dyDescent="0.2"/>
  <cols>
    <col min="1" max="1" width="7.42578125" style="12" customWidth="1"/>
    <col min="2" max="2" width="12.28515625" style="12" customWidth="1"/>
    <col min="3" max="3" width="8.7109375" style="12" customWidth="1"/>
    <col min="4" max="4" width="7.28515625" style="12" customWidth="1"/>
    <col min="5" max="5" width="8" style="12" customWidth="1"/>
    <col min="6" max="7" width="7.28515625" style="12" customWidth="1"/>
    <col min="8" max="8" width="8.140625" style="12" customWidth="1"/>
    <col min="9" max="9" width="9.28515625" style="12" customWidth="1"/>
    <col min="10" max="10" width="7.5703125" style="12" customWidth="1"/>
    <col min="11" max="11" width="7.7109375" style="12" customWidth="1"/>
    <col min="12" max="12" width="8.7109375" style="12" customWidth="1"/>
    <col min="13" max="13" width="7.85546875" style="12" customWidth="1"/>
    <col min="14" max="14" width="7.7109375" style="12" customWidth="1"/>
    <col min="15" max="15" width="10.140625" style="12" customWidth="1"/>
    <col min="16" max="16" width="9.7109375" style="12" customWidth="1"/>
    <col min="17" max="17" width="10.85546875" style="12" customWidth="1"/>
    <col min="18" max="18" width="9.5703125" style="12" bestFit="1" customWidth="1"/>
    <col min="19" max="19" width="9.28515625" style="12" bestFit="1" customWidth="1"/>
    <col min="20" max="16384" width="9.140625" style="12"/>
  </cols>
  <sheetData>
    <row r="1" spans="1:22" customFormat="1" ht="15" x14ac:dyDescent="0.2">
      <c r="H1" s="24"/>
      <c r="I1" s="24"/>
      <c r="J1" s="24"/>
      <c r="K1" s="24"/>
      <c r="L1" s="24"/>
      <c r="M1" s="24"/>
      <c r="N1" s="24"/>
      <c r="O1" s="24"/>
      <c r="P1" s="1143" t="s">
        <v>95</v>
      </c>
      <c r="Q1" s="1143"/>
      <c r="R1" s="1075"/>
      <c r="S1" s="12"/>
      <c r="T1" s="32"/>
      <c r="U1" s="32"/>
    </row>
    <row r="2" spans="1:22" customFormat="1" ht="15" x14ac:dyDescent="0.2">
      <c r="A2" s="1080" t="s">
        <v>0</v>
      </c>
      <c r="B2" s="1080"/>
      <c r="C2" s="1080"/>
      <c r="D2" s="1080"/>
      <c r="E2" s="1080"/>
      <c r="F2" s="1080"/>
      <c r="G2" s="1080"/>
      <c r="H2" s="1080"/>
      <c r="I2" s="1080"/>
      <c r="J2" s="1080"/>
      <c r="K2" s="1080"/>
      <c r="L2" s="1080"/>
      <c r="M2" s="1080"/>
      <c r="N2" s="1080"/>
      <c r="O2" s="1080"/>
      <c r="P2" s="1080"/>
      <c r="Q2" s="1080"/>
      <c r="R2" s="1075"/>
      <c r="S2" s="34"/>
      <c r="T2" s="34"/>
      <c r="U2" s="34"/>
    </row>
    <row r="3" spans="1:22" customFormat="1" ht="20.25" x14ac:dyDescent="0.3">
      <c r="A3" s="1056" t="s">
        <v>664</v>
      </c>
      <c r="B3" s="1056"/>
      <c r="C3" s="1056"/>
      <c r="D3" s="1056"/>
      <c r="E3" s="1056"/>
      <c r="F3" s="1056"/>
      <c r="G3" s="1056"/>
      <c r="H3" s="1056"/>
      <c r="I3" s="1056"/>
      <c r="J3" s="1056"/>
      <c r="K3" s="1056"/>
      <c r="L3" s="1056"/>
      <c r="M3" s="1056"/>
      <c r="N3" s="1056"/>
      <c r="O3" s="1056"/>
      <c r="P3" s="1056"/>
      <c r="Q3" s="1056"/>
      <c r="R3" s="1075"/>
      <c r="S3" s="33"/>
      <c r="T3" s="33"/>
      <c r="U3" s="33"/>
    </row>
    <row r="4" spans="1:22" ht="18.600000000000001" customHeight="1" x14ac:dyDescent="0.25">
      <c r="A4" s="987" t="s">
        <v>724</v>
      </c>
      <c r="B4" s="987"/>
      <c r="C4" s="987"/>
      <c r="D4" s="987"/>
      <c r="E4" s="987"/>
      <c r="F4" s="987"/>
      <c r="G4" s="987"/>
      <c r="H4" s="987"/>
      <c r="I4" s="987"/>
      <c r="J4" s="987"/>
      <c r="K4" s="987"/>
      <c r="L4" s="987"/>
      <c r="M4" s="987"/>
      <c r="N4" s="987"/>
      <c r="O4" s="987"/>
      <c r="P4" s="987"/>
      <c r="Q4" s="987"/>
      <c r="R4" s="1075"/>
    </row>
    <row r="5" spans="1:22" ht="12" customHeight="1" x14ac:dyDescent="0.2">
      <c r="R5" s="1075"/>
    </row>
    <row r="6" spans="1:22" x14ac:dyDescent="0.2">
      <c r="Q6" s="482" t="s">
        <v>24</v>
      </c>
      <c r="R6" s="1075"/>
    </row>
    <row r="7" spans="1:22" x14ac:dyDescent="0.2">
      <c r="A7" s="1152" t="s">
        <v>463</v>
      </c>
      <c r="B7" s="1152"/>
      <c r="C7" s="1152"/>
      <c r="D7" s="468"/>
      <c r="E7" s="468"/>
      <c r="F7" s="468"/>
      <c r="G7" s="468"/>
      <c r="H7" s="468"/>
      <c r="I7" s="468"/>
      <c r="J7" s="468"/>
      <c r="K7" s="468"/>
      <c r="L7" s="468"/>
      <c r="M7" s="468"/>
      <c r="N7" s="1144" t="s">
        <v>915</v>
      </c>
      <c r="O7" s="1144"/>
      <c r="P7" s="1144"/>
      <c r="Q7" s="1144"/>
      <c r="R7" s="1075"/>
      <c r="S7" s="16"/>
    </row>
    <row r="8" spans="1:22" ht="37.15" customHeight="1" x14ac:dyDescent="0.2">
      <c r="A8" s="1066" t="s">
        <v>2</v>
      </c>
      <c r="B8" s="1066" t="s">
        <v>3</v>
      </c>
      <c r="C8" s="1064" t="s">
        <v>983</v>
      </c>
      <c r="D8" s="1064"/>
      <c r="E8" s="1064"/>
      <c r="F8" s="1064" t="s">
        <v>984</v>
      </c>
      <c r="G8" s="1064"/>
      <c r="H8" s="1064"/>
      <c r="I8" s="1145" t="s">
        <v>98</v>
      </c>
      <c r="J8" s="1146"/>
      <c r="K8" s="1147"/>
      <c r="L8" s="1145" t="s">
        <v>97</v>
      </c>
      <c r="M8" s="1146"/>
      <c r="N8" s="1147"/>
      <c r="O8" s="1148" t="s">
        <v>985</v>
      </c>
      <c r="P8" s="1149"/>
      <c r="Q8" s="1150"/>
      <c r="R8" s="1075"/>
    </row>
    <row r="9" spans="1:22" ht="44.25" customHeight="1" x14ac:dyDescent="0.2">
      <c r="A9" s="1067"/>
      <c r="B9" s="1067"/>
      <c r="C9" s="195" t="s">
        <v>119</v>
      </c>
      <c r="D9" s="195" t="s">
        <v>513</v>
      </c>
      <c r="E9" s="195" t="s">
        <v>18</v>
      </c>
      <c r="F9" s="195" t="s">
        <v>119</v>
      </c>
      <c r="G9" s="195" t="s">
        <v>513</v>
      </c>
      <c r="H9" s="195" t="s">
        <v>18</v>
      </c>
      <c r="I9" s="737" t="s">
        <v>788</v>
      </c>
      <c r="J9" s="195" t="s">
        <v>513</v>
      </c>
      <c r="K9" s="195" t="s">
        <v>18</v>
      </c>
      <c r="L9" s="195" t="s">
        <v>119</v>
      </c>
      <c r="M9" s="195" t="s">
        <v>513</v>
      </c>
      <c r="N9" s="195" t="s">
        <v>18</v>
      </c>
      <c r="O9" s="659" t="s">
        <v>765</v>
      </c>
      <c r="P9" s="659" t="s">
        <v>766</v>
      </c>
      <c r="Q9" s="195" t="s">
        <v>407</v>
      </c>
    </row>
    <row r="10" spans="1:22" s="50" customFormat="1" x14ac:dyDescent="0.2">
      <c r="A10" s="252">
        <v>1</v>
      </c>
      <c r="B10" s="252">
        <v>2</v>
      </c>
      <c r="C10" s="252">
        <v>3</v>
      </c>
      <c r="D10" s="252">
        <v>4</v>
      </c>
      <c r="E10" s="252">
        <v>5</v>
      </c>
      <c r="F10" s="252">
        <v>6</v>
      </c>
      <c r="G10" s="252">
        <v>7</v>
      </c>
      <c r="H10" s="252">
        <v>8</v>
      </c>
      <c r="I10" s="252">
        <v>9</v>
      </c>
      <c r="J10" s="252">
        <v>10</v>
      </c>
      <c r="K10" s="252">
        <v>11</v>
      </c>
      <c r="L10" s="252">
        <v>12</v>
      </c>
      <c r="M10" s="252">
        <v>13</v>
      </c>
      <c r="N10" s="252">
        <v>14</v>
      </c>
      <c r="O10" s="252">
        <v>15</v>
      </c>
      <c r="P10" s="252">
        <v>16</v>
      </c>
      <c r="Q10" s="252">
        <v>17</v>
      </c>
      <c r="R10" s="851"/>
      <c r="S10" s="851"/>
      <c r="T10" s="851"/>
    </row>
    <row r="11" spans="1:22" ht="24.95" customHeight="1" x14ac:dyDescent="0.2">
      <c r="A11" s="194">
        <v>1</v>
      </c>
      <c r="B11" s="225" t="s">
        <v>392</v>
      </c>
      <c r="C11" s="92">
        <v>305.97000000000003</v>
      </c>
      <c r="D11" s="92">
        <v>34.119999999999997</v>
      </c>
      <c r="E11" s="203">
        <f>C11+D11</f>
        <v>340.09000000000003</v>
      </c>
      <c r="F11" s="92">
        <v>39.69</v>
      </c>
      <c r="G11" s="92">
        <v>4.43</v>
      </c>
      <c r="H11" s="203">
        <f>F11+G11</f>
        <v>44.12</v>
      </c>
      <c r="I11" s="92">
        <v>266.29000000000002</v>
      </c>
      <c r="J11" s="92">
        <v>29.69</v>
      </c>
      <c r="K11" s="203">
        <f>I11+J11</f>
        <v>295.98</v>
      </c>
      <c r="L11" s="203">
        <v>246.3</v>
      </c>
      <c r="M11" s="203">
        <v>27.46</v>
      </c>
      <c r="N11" s="203">
        <f>L11+M11</f>
        <v>273.76</v>
      </c>
      <c r="O11" s="203">
        <f>F11+I11-L11</f>
        <v>59.680000000000007</v>
      </c>
      <c r="P11" s="253">
        <f>G11+J11-M11</f>
        <v>6.6600000000000037</v>
      </c>
      <c r="Q11" s="203">
        <f>H11+K11-N11</f>
        <v>66.340000000000032</v>
      </c>
      <c r="R11" s="851"/>
      <c r="S11" s="851"/>
      <c r="T11" s="851"/>
      <c r="U11" s="851"/>
      <c r="V11" s="851"/>
    </row>
    <row r="12" spans="1:22" ht="24.95" customHeight="1" x14ac:dyDescent="0.2">
      <c r="A12" s="194">
        <v>2</v>
      </c>
      <c r="B12" s="225" t="s">
        <v>393</v>
      </c>
      <c r="C12" s="92">
        <v>131.36000000000001</v>
      </c>
      <c r="D12" s="92">
        <v>14.65</v>
      </c>
      <c r="E12" s="203">
        <f t="shared" ref="E12:E23" si="0">C12+D12</f>
        <v>146.01000000000002</v>
      </c>
      <c r="F12" s="92">
        <v>10.66</v>
      </c>
      <c r="G12" s="203">
        <v>1.19</v>
      </c>
      <c r="H12" s="203">
        <f t="shared" ref="H12:H23" si="1">F12+G12</f>
        <v>11.85</v>
      </c>
      <c r="I12" s="92">
        <v>120.7</v>
      </c>
      <c r="J12" s="92">
        <v>13.46</v>
      </c>
      <c r="K12" s="203">
        <f t="shared" ref="K12:K23" si="2">I12+J12</f>
        <v>134.16</v>
      </c>
      <c r="L12" s="203">
        <v>113.55</v>
      </c>
      <c r="M12" s="203">
        <v>12.66</v>
      </c>
      <c r="N12" s="203">
        <f t="shared" ref="N12:N23" si="3">L12+M12</f>
        <v>126.21</v>
      </c>
      <c r="O12" s="203">
        <f>F12+I12-L12</f>
        <v>17.810000000000016</v>
      </c>
      <c r="P12" s="203">
        <f t="shared" ref="P12:P23" si="4">G12+J12-M12</f>
        <v>1.9900000000000002</v>
      </c>
      <c r="Q12" s="203">
        <f t="shared" ref="Q12:Q23" si="5">H12+K12-N12</f>
        <v>19.799999999999997</v>
      </c>
      <c r="R12" s="851"/>
      <c r="S12" s="851"/>
      <c r="T12" s="851"/>
      <c r="U12" s="50"/>
      <c r="V12" s="50"/>
    </row>
    <row r="13" spans="1:22" ht="24.95" customHeight="1" x14ac:dyDescent="0.2">
      <c r="A13" s="194">
        <v>3</v>
      </c>
      <c r="B13" s="225" t="s">
        <v>394</v>
      </c>
      <c r="C13" s="92">
        <v>206.13</v>
      </c>
      <c r="D13" s="92">
        <v>22.99</v>
      </c>
      <c r="E13" s="203">
        <f t="shared" si="0"/>
        <v>229.12</v>
      </c>
      <c r="F13" s="92">
        <v>26.71</v>
      </c>
      <c r="G13" s="92">
        <v>2.98</v>
      </c>
      <c r="H13" s="203">
        <f t="shared" si="1"/>
        <v>29.69</v>
      </c>
      <c r="I13" s="92">
        <v>179.42</v>
      </c>
      <c r="J13" s="92">
        <v>20.010000000000002</v>
      </c>
      <c r="K13" s="203">
        <f t="shared" si="2"/>
        <v>199.42999999999998</v>
      </c>
      <c r="L13" s="203">
        <v>175.04</v>
      </c>
      <c r="M13" s="203">
        <v>19.52</v>
      </c>
      <c r="N13" s="203">
        <f t="shared" si="3"/>
        <v>194.56</v>
      </c>
      <c r="O13" s="203">
        <f t="shared" ref="O13:O23" si="6">F13+I13-L13</f>
        <v>31.090000000000003</v>
      </c>
      <c r="P13" s="203">
        <f t="shared" si="4"/>
        <v>3.4700000000000024</v>
      </c>
      <c r="Q13" s="203">
        <f t="shared" si="5"/>
        <v>34.559999999999974</v>
      </c>
      <c r="R13" s="851"/>
      <c r="S13" s="851"/>
      <c r="T13" s="851"/>
      <c r="U13" s="851"/>
      <c r="V13" s="851"/>
    </row>
    <row r="14" spans="1:22" ht="24.95" customHeight="1" x14ac:dyDescent="0.2">
      <c r="A14" s="194">
        <v>4</v>
      </c>
      <c r="B14" s="225" t="s">
        <v>395</v>
      </c>
      <c r="C14" s="92">
        <v>127.48</v>
      </c>
      <c r="D14" s="92">
        <v>14.21</v>
      </c>
      <c r="E14" s="203">
        <f t="shared" si="0"/>
        <v>141.69</v>
      </c>
      <c r="F14" s="92">
        <v>15.29</v>
      </c>
      <c r="G14" s="92">
        <v>1.7</v>
      </c>
      <c r="H14" s="203">
        <f t="shared" si="1"/>
        <v>16.989999999999998</v>
      </c>
      <c r="I14" s="92">
        <v>112.19</v>
      </c>
      <c r="J14" s="92">
        <v>12.51</v>
      </c>
      <c r="K14" s="203">
        <f t="shared" si="2"/>
        <v>124.7</v>
      </c>
      <c r="L14" s="203">
        <v>108.09</v>
      </c>
      <c r="M14" s="203">
        <v>12.05</v>
      </c>
      <c r="N14" s="203">
        <f t="shared" si="3"/>
        <v>120.14</v>
      </c>
      <c r="O14" s="203">
        <f t="shared" si="6"/>
        <v>19.389999999999986</v>
      </c>
      <c r="P14" s="203">
        <f t="shared" si="4"/>
        <v>2.1599999999999984</v>
      </c>
      <c r="Q14" s="203">
        <f t="shared" si="5"/>
        <v>21.549999999999997</v>
      </c>
      <c r="R14" s="851"/>
      <c r="S14" s="851"/>
      <c r="T14" s="851"/>
      <c r="U14" s="50"/>
      <c r="V14" s="50"/>
    </row>
    <row r="15" spans="1:22" ht="24.95" customHeight="1" x14ac:dyDescent="0.2">
      <c r="A15" s="194">
        <v>5</v>
      </c>
      <c r="B15" s="227" t="s">
        <v>396</v>
      </c>
      <c r="C15" s="92">
        <v>356.44</v>
      </c>
      <c r="D15" s="92">
        <v>39.75</v>
      </c>
      <c r="E15" s="203">
        <f t="shared" si="0"/>
        <v>396.19</v>
      </c>
      <c r="F15" s="92">
        <v>67.13</v>
      </c>
      <c r="G15" s="92">
        <v>7.49</v>
      </c>
      <c r="H15" s="203">
        <f t="shared" si="1"/>
        <v>74.61999999999999</v>
      </c>
      <c r="I15" s="92">
        <v>289.31</v>
      </c>
      <c r="J15" s="92">
        <v>32.26</v>
      </c>
      <c r="K15" s="203">
        <f t="shared" si="2"/>
        <v>321.57</v>
      </c>
      <c r="L15" s="203">
        <v>307.24</v>
      </c>
      <c r="M15" s="203">
        <v>34.26</v>
      </c>
      <c r="N15" s="203">
        <f t="shared" si="3"/>
        <v>341.5</v>
      </c>
      <c r="O15" s="203">
        <f t="shared" si="6"/>
        <v>49.199999999999989</v>
      </c>
      <c r="P15" s="203">
        <f t="shared" si="4"/>
        <v>5.490000000000002</v>
      </c>
      <c r="Q15" s="203">
        <f t="shared" si="5"/>
        <v>54.69</v>
      </c>
      <c r="R15" s="851"/>
      <c r="S15" s="851"/>
      <c r="T15" s="851"/>
      <c r="U15" s="851"/>
      <c r="V15" s="851"/>
    </row>
    <row r="16" spans="1:22" ht="24.95" customHeight="1" x14ac:dyDescent="0.2">
      <c r="A16" s="194">
        <v>6</v>
      </c>
      <c r="B16" s="225" t="s">
        <v>397</v>
      </c>
      <c r="C16" s="92">
        <v>459.42</v>
      </c>
      <c r="D16" s="92">
        <v>51.23</v>
      </c>
      <c r="E16" s="203">
        <f t="shared" si="0"/>
        <v>510.65000000000003</v>
      </c>
      <c r="F16" s="92">
        <v>81.2</v>
      </c>
      <c r="G16" s="92">
        <v>9.0500000000000007</v>
      </c>
      <c r="H16" s="203">
        <f t="shared" si="1"/>
        <v>90.25</v>
      </c>
      <c r="I16" s="92">
        <v>378.22</v>
      </c>
      <c r="J16" s="92">
        <v>42.18</v>
      </c>
      <c r="K16" s="203">
        <f t="shared" si="2"/>
        <v>420.40000000000003</v>
      </c>
      <c r="L16" s="203">
        <v>383.81</v>
      </c>
      <c r="M16" s="203">
        <v>42.8</v>
      </c>
      <c r="N16" s="203">
        <f t="shared" si="3"/>
        <v>426.61</v>
      </c>
      <c r="O16" s="203">
        <f t="shared" si="6"/>
        <v>75.610000000000014</v>
      </c>
      <c r="P16" s="203">
        <f t="shared" si="4"/>
        <v>8.4300000000000068</v>
      </c>
      <c r="Q16" s="203">
        <f t="shared" si="5"/>
        <v>84.04000000000002</v>
      </c>
      <c r="R16" s="851"/>
      <c r="S16" s="851"/>
      <c r="T16" s="851"/>
      <c r="U16" s="50"/>
      <c r="V16" s="50"/>
    </row>
    <row r="17" spans="1:22" ht="24.95" customHeight="1" x14ac:dyDescent="0.2">
      <c r="A17" s="194">
        <v>7</v>
      </c>
      <c r="B17" s="227" t="s">
        <v>398</v>
      </c>
      <c r="C17" s="92">
        <v>322.66000000000003</v>
      </c>
      <c r="D17" s="92">
        <v>35.979999999999997</v>
      </c>
      <c r="E17" s="203">
        <f t="shared" si="0"/>
        <v>358.64000000000004</v>
      </c>
      <c r="F17" s="92">
        <v>12.84</v>
      </c>
      <c r="G17" s="92">
        <v>1.43</v>
      </c>
      <c r="H17" s="203">
        <f t="shared" si="1"/>
        <v>14.27</v>
      </c>
      <c r="I17" s="203">
        <v>309.82</v>
      </c>
      <c r="J17" s="92">
        <v>34.549999999999997</v>
      </c>
      <c r="K17" s="203">
        <f t="shared" si="2"/>
        <v>344.37</v>
      </c>
      <c r="L17" s="203">
        <v>321.32</v>
      </c>
      <c r="M17" s="203">
        <v>35.83</v>
      </c>
      <c r="N17" s="203">
        <f t="shared" si="3"/>
        <v>357.15</v>
      </c>
      <c r="O17" s="203">
        <f t="shared" si="6"/>
        <v>1.339999999999975</v>
      </c>
      <c r="P17" s="203">
        <f t="shared" si="4"/>
        <v>0.14999999999999858</v>
      </c>
      <c r="Q17" s="203">
        <f t="shared" si="5"/>
        <v>1.4900000000000091</v>
      </c>
      <c r="R17" s="851"/>
      <c r="S17" s="851"/>
      <c r="T17" s="851"/>
      <c r="U17" s="851"/>
      <c r="V17" s="851"/>
    </row>
    <row r="18" spans="1:22" ht="24.95" customHeight="1" x14ac:dyDescent="0.2">
      <c r="A18" s="194">
        <v>8</v>
      </c>
      <c r="B18" s="225" t="s">
        <v>399</v>
      </c>
      <c r="C18" s="92">
        <v>308.33999999999997</v>
      </c>
      <c r="D18" s="92">
        <v>34.39</v>
      </c>
      <c r="E18" s="203">
        <f t="shared" si="0"/>
        <v>342.72999999999996</v>
      </c>
      <c r="F18" s="92">
        <v>32.82</v>
      </c>
      <c r="G18" s="92">
        <v>3.66</v>
      </c>
      <c r="H18" s="203">
        <f t="shared" si="1"/>
        <v>36.480000000000004</v>
      </c>
      <c r="I18" s="92">
        <v>275.52</v>
      </c>
      <c r="J18" s="92">
        <v>30.72</v>
      </c>
      <c r="K18" s="203">
        <f t="shared" si="2"/>
        <v>306.24</v>
      </c>
      <c r="L18" s="203">
        <v>258.33</v>
      </c>
      <c r="M18" s="203">
        <v>28.8</v>
      </c>
      <c r="N18" s="203">
        <f t="shared" si="3"/>
        <v>287.13</v>
      </c>
      <c r="O18" s="203">
        <f t="shared" si="6"/>
        <v>50.009999999999991</v>
      </c>
      <c r="P18" s="203">
        <f t="shared" si="4"/>
        <v>5.5799999999999947</v>
      </c>
      <c r="Q18" s="203">
        <f t="shared" si="5"/>
        <v>55.590000000000032</v>
      </c>
      <c r="R18" s="851"/>
      <c r="S18" s="851"/>
      <c r="T18" s="851"/>
      <c r="U18" s="50"/>
      <c r="V18" s="50"/>
    </row>
    <row r="19" spans="1:22" ht="24.95" customHeight="1" x14ac:dyDescent="0.2">
      <c r="A19" s="194">
        <v>9</v>
      </c>
      <c r="B19" s="225" t="s">
        <v>400</v>
      </c>
      <c r="C19" s="92">
        <v>206.3</v>
      </c>
      <c r="D19" s="92">
        <v>23</v>
      </c>
      <c r="E19" s="203">
        <f t="shared" si="0"/>
        <v>229.3</v>
      </c>
      <c r="F19" s="92">
        <v>19.510000000000002</v>
      </c>
      <c r="G19" s="92">
        <v>2.1800000000000002</v>
      </c>
      <c r="H19" s="203">
        <f t="shared" si="1"/>
        <v>21.69</v>
      </c>
      <c r="I19" s="92">
        <v>186.8</v>
      </c>
      <c r="J19" s="92">
        <v>20.83</v>
      </c>
      <c r="K19" s="203">
        <f t="shared" si="2"/>
        <v>207.63</v>
      </c>
      <c r="L19" s="203">
        <v>177.32</v>
      </c>
      <c r="M19" s="203">
        <v>19.77</v>
      </c>
      <c r="N19" s="203">
        <f t="shared" si="3"/>
        <v>197.09</v>
      </c>
      <c r="O19" s="203">
        <f t="shared" si="6"/>
        <v>28.990000000000009</v>
      </c>
      <c r="P19" s="203">
        <f t="shared" si="4"/>
        <v>3.2399999999999984</v>
      </c>
      <c r="Q19" s="203">
        <f t="shared" si="5"/>
        <v>32.22999999999999</v>
      </c>
      <c r="R19" s="851"/>
      <c r="S19" s="851"/>
      <c r="T19" s="851"/>
      <c r="U19" s="851"/>
      <c r="V19" s="851"/>
    </row>
    <row r="20" spans="1:22" ht="24.95" customHeight="1" x14ac:dyDescent="0.2">
      <c r="A20" s="194">
        <v>10</v>
      </c>
      <c r="B20" s="225" t="s">
        <v>401</v>
      </c>
      <c r="C20" s="92">
        <v>140.79</v>
      </c>
      <c r="D20" s="92">
        <v>15.7</v>
      </c>
      <c r="E20" s="203">
        <f t="shared" si="0"/>
        <v>156.48999999999998</v>
      </c>
      <c r="F20" s="92">
        <v>22.87</v>
      </c>
      <c r="G20" s="92">
        <v>2.5499999999999998</v>
      </c>
      <c r="H20" s="203">
        <f t="shared" si="1"/>
        <v>25.42</v>
      </c>
      <c r="I20" s="92">
        <v>117.92</v>
      </c>
      <c r="J20" s="92">
        <v>13.15</v>
      </c>
      <c r="K20" s="203">
        <f t="shared" si="2"/>
        <v>131.07</v>
      </c>
      <c r="L20" s="203">
        <v>135.91</v>
      </c>
      <c r="M20" s="203">
        <v>15.16</v>
      </c>
      <c r="N20" s="203">
        <f t="shared" si="3"/>
        <v>151.07</v>
      </c>
      <c r="O20" s="203">
        <f t="shared" si="6"/>
        <v>4.8799999999999955</v>
      </c>
      <c r="P20" s="203">
        <f t="shared" si="4"/>
        <v>0.53999999999999915</v>
      </c>
      <c r="Q20" s="203">
        <f t="shared" si="5"/>
        <v>5.4200000000000159</v>
      </c>
      <c r="R20" s="851"/>
      <c r="S20" s="851"/>
      <c r="T20" s="851"/>
      <c r="U20" s="50"/>
      <c r="V20" s="50"/>
    </row>
    <row r="21" spans="1:22" ht="24.95" customHeight="1" x14ac:dyDescent="0.2">
      <c r="A21" s="194">
        <v>11</v>
      </c>
      <c r="B21" s="225" t="s">
        <v>402</v>
      </c>
      <c r="C21" s="92">
        <v>335.43</v>
      </c>
      <c r="D21" s="92">
        <v>37.4</v>
      </c>
      <c r="E21" s="203">
        <f t="shared" si="0"/>
        <v>372.83</v>
      </c>
      <c r="F21" s="92">
        <v>38.979999999999997</v>
      </c>
      <c r="G21" s="92">
        <v>4.3499999999999996</v>
      </c>
      <c r="H21" s="203">
        <f t="shared" si="1"/>
        <v>43.33</v>
      </c>
      <c r="I21" s="92">
        <v>296.44</v>
      </c>
      <c r="J21" s="92">
        <v>33.04</v>
      </c>
      <c r="K21" s="203">
        <f t="shared" si="2"/>
        <v>329.48</v>
      </c>
      <c r="L21" s="203">
        <v>290.81</v>
      </c>
      <c r="M21" s="203">
        <v>32.46</v>
      </c>
      <c r="N21" s="203">
        <f t="shared" si="3"/>
        <v>323.27</v>
      </c>
      <c r="O21" s="203">
        <f t="shared" si="6"/>
        <v>44.610000000000014</v>
      </c>
      <c r="P21" s="203">
        <f t="shared" si="4"/>
        <v>4.93</v>
      </c>
      <c r="Q21" s="203">
        <f t="shared" si="5"/>
        <v>49.54000000000002</v>
      </c>
      <c r="R21" s="851"/>
      <c r="S21" s="851"/>
      <c r="T21" s="851"/>
      <c r="U21" s="851"/>
      <c r="V21" s="851"/>
    </row>
    <row r="22" spans="1:22" ht="24.95" customHeight="1" x14ac:dyDescent="0.2">
      <c r="A22" s="194">
        <v>12</v>
      </c>
      <c r="B22" s="225" t="s">
        <v>403</v>
      </c>
      <c r="C22" s="92">
        <v>498.51</v>
      </c>
      <c r="D22" s="92">
        <v>55.59</v>
      </c>
      <c r="E22" s="203">
        <f t="shared" si="0"/>
        <v>554.1</v>
      </c>
      <c r="F22" s="92">
        <v>70.78</v>
      </c>
      <c r="G22" s="92">
        <v>7.89</v>
      </c>
      <c r="H22" s="203">
        <f t="shared" si="1"/>
        <v>78.67</v>
      </c>
      <c r="I22" s="92">
        <v>427.73</v>
      </c>
      <c r="J22" s="92">
        <v>47.7</v>
      </c>
      <c r="K22" s="203">
        <f t="shared" si="2"/>
        <v>475.43</v>
      </c>
      <c r="L22" s="203">
        <v>425.02</v>
      </c>
      <c r="M22" s="203">
        <v>47.39</v>
      </c>
      <c r="N22" s="203">
        <f t="shared" si="3"/>
        <v>472.40999999999997</v>
      </c>
      <c r="O22" s="203">
        <f t="shared" si="6"/>
        <v>73.490000000000009</v>
      </c>
      <c r="P22" s="203">
        <f t="shared" si="4"/>
        <v>8.2000000000000028</v>
      </c>
      <c r="Q22" s="203">
        <f t="shared" si="5"/>
        <v>81.690000000000055</v>
      </c>
      <c r="R22" s="851"/>
      <c r="S22" s="851"/>
      <c r="T22" s="851"/>
      <c r="U22" s="50"/>
      <c r="V22" s="50"/>
    </row>
    <row r="23" spans="1:22" ht="24.95" customHeight="1" x14ac:dyDescent="0.2">
      <c r="A23" s="194">
        <v>13</v>
      </c>
      <c r="B23" s="225" t="s">
        <v>404</v>
      </c>
      <c r="C23" s="92">
        <v>154.65</v>
      </c>
      <c r="D23" s="92">
        <v>17.239999999999998</v>
      </c>
      <c r="E23" s="203">
        <f t="shared" si="0"/>
        <v>171.89000000000001</v>
      </c>
      <c r="F23" s="92">
        <v>11.02</v>
      </c>
      <c r="G23" s="92">
        <v>1.23</v>
      </c>
      <c r="H23" s="203">
        <f t="shared" si="1"/>
        <v>12.25</v>
      </c>
      <c r="I23" s="92">
        <v>143.62</v>
      </c>
      <c r="J23" s="92">
        <v>16.02</v>
      </c>
      <c r="K23" s="203">
        <f t="shared" si="2"/>
        <v>159.64000000000001</v>
      </c>
      <c r="L23" s="203">
        <v>142.41</v>
      </c>
      <c r="M23" s="203">
        <v>15.87</v>
      </c>
      <c r="N23" s="203">
        <f t="shared" si="3"/>
        <v>158.28</v>
      </c>
      <c r="O23" s="203">
        <f t="shared" si="6"/>
        <v>12.230000000000018</v>
      </c>
      <c r="P23" s="203">
        <f t="shared" si="4"/>
        <v>1.3800000000000008</v>
      </c>
      <c r="Q23" s="203">
        <f t="shared" si="5"/>
        <v>13.610000000000014</v>
      </c>
      <c r="R23" s="851"/>
      <c r="S23" s="851"/>
      <c r="T23" s="851"/>
      <c r="U23" s="851"/>
      <c r="V23" s="851"/>
    </row>
    <row r="24" spans="1:22" s="641" customFormat="1" ht="24.95" customHeight="1" x14ac:dyDescent="0.2">
      <c r="A24" s="1093" t="s">
        <v>18</v>
      </c>
      <c r="B24" s="1084"/>
      <c r="C24" s="639">
        <f t="shared" ref="C24:Q24" si="7">SUM(C11:C23)</f>
        <v>3553.48</v>
      </c>
      <c r="D24" s="639">
        <f t="shared" si="7"/>
        <v>396.25</v>
      </c>
      <c r="E24" s="204">
        <f t="shared" si="7"/>
        <v>3949.73</v>
      </c>
      <c r="F24" s="204">
        <f t="shared" si="7"/>
        <v>449.5</v>
      </c>
      <c r="G24" s="639">
        <f t="shared" si="7"/>
        <v>50.129999999999995</v>
      </c>
      <c r="H24" s="204">
        <f t="shared" si="7"/>
        <v>499.63</v>
      </c>
      <c r="I24" s="204">
        <f t="shared" si="7"/>
        <v>3103.98</v>
      </c>
      <c r="J24" s="639">
        <f t="shared" si="7"/>
        <v>346.12</v>
      </c>
      <c r="K24" s="204">
        <f t="shared" si="7"/>
        <v>3450.1000000000004</v>
      </c>
      <c r="L24" s="204">
        <f t="shared" si="7"/>
        <v>3085.1499999999996</v>
      </c>
      <c r="M24" s="204">
        <f t="shared" si="7"/>
        <v>344.03</v>
      </c>
      <c r="N24" s="204">
        <f t="shared" si="7"/>
        <v>3429.1800000000007</v>
      </c>
      <c r="O24" s="204">
        <f t="shared" si="7"/>
        <v>468.33000000000004</v>
      </c>
      <c r="P24" s="204">
        <f t="shared" si="7"/>
        <v>52.220000000000006</v>
      </c>
      <c r="Q24" s="204">
        <f t="shared" si="7"/>
        <v>520.55000000000018</v>
      </c>
      <c r="R24" s="851"/>
      <c r="S24" s="851"/>
      <c r="T24" s="851"/>
      <c r="U24" s="50"/>
      <c r="V24" s="50"/>
    </row>
    <row r="25" spans="1:22" s="11" customFormat="1" x14ac:dyDescent="0.2">
      <c r="A25" s="649" t="s">
        <v>754</v>
      </c>
      <c r="B25" s="638"/>
      <c r="C25" s="848"/>
      <c r="D25" s="848"/>
      <c r="E25" s="848"/>
      <c r="F25" s="848"/>
      <c r="G25" s="848"/>
      <c r="H25" s="848"/>
      <c r="I25" s="848"/>
      <c r="J25" s="922">
        <f>I24/9</f>
        <v>344.88666666666666</v>
      </c>
      <c r="K25" s="848"/>
      <c r="L25" s="645">
        <f>G24+J24</f>
        <v>396.25</v>
      </c>
      <c r="M25" s="848"/>
      <c r="N25" s="848"/>
      <c r="O25" s="848"/>
      <c r="P25" s="848"/>
      <c r="Q25" s="848"/>
      <c r="R25" s="50"/>
      <c r="S25" s="50"/>
    </row>
    <row r="26" spans="1:22" s="11" customFormat="1" x14ac:dyDescent="0.2">
      <c r="A26" s="649"/>
      <c r="B26" s="658"/>
      <c r="C26" s="645"/>
      <c r="D26" s="645"/>
      <c r="E26" s="645"/>
      <c r="F26" s="645"/>
      <c r="G26" s="645"/>
      <c r="H26" s="645"/>
      <c r="I26" s="645"/>
      <c r="J26" s="645"/>
      <c r="K26" s="645"/>
      <c r="L26" s="645"/>
      <c r="M26" s="645"/>
      <c r="N26" s="645"/>
      <c r="O26" s="645"/>
      <c r="P26" s="645"/>
      <c r="Q26" s="645"/>
    </row>
    <row r="27" spans="1:22" x14ac:dyDescent="0.2">
      <c r="A27" s="647" t="s">
        <v>509</v>
      </c>
      <c r="B27" s="647"/>
      <c r="C27" s="647"/>
      <c r="D27" s="647"/>
      <c r="E27" s="647"/>
      <c r="F27" s="647"/>
      <c r="G27" s="647"/>
      <c r="H27" s="647"/>
      <c r="I27" s="647"/>
      <c r="J27" s="647"/>
      <c r="K27" s="647"/>
      <c r="L27" s="647"/>
      <c r="M27" s="647"/>
      <c r="N27" s="647"/>
      <c r="O27" s="647"/>
      <c r="P27" s="648"/>
      <c r="Q27" s="648"/>
    </row>
    <row r="28" spans="1:22" x14ac:dyDescent="0.2">
      <c r="A28" s="1151" t="s">
        <v>514</v>
      </c>
      <c r="B28" s="1151"/>
      <c r="C28" s="1151"/>
      <c r="D28" s="1151"/>
      <c r="E28" s="1151"/>
      <c r="F28" s="1151"/>
      <c r="G28" s="1151"/>
      <c r="H28" s="1151"/>
      <c r="I28" s="1151"/>
      <c r="J28" s="1151"/>
      <c r="K28" s="1151"/>
      <c r="L28" s="1151"/>
      <c r="M28" s="1151"/>
      <c r="N28" s="1151"/>
      <c r="O28" s="1151"/>
      <c r="P28" s="1151"/>
      <c r="Q28" s="1151"/>
    </row>
    <row r="29" spans="1:22" ht="15.75" customHeight="1" x14ac:dyDescent="0.2">
      <c r="A29" s="11" t="s">
        <v>11</v>
      </c>
      <c r="B29" s="11"/>
      <c r="C29" s="11"/>
      <c r="D29" s="11"/>
      <c r="E29" s="11"/>
      <c r="F29" s="11"/>
      <c r="G29" s="11"/>
      <c r="H29" s="11"/>
      <c r="I29" s="11"/>
      <c r="J29" s="11"/>
      <c r="K29" s="11"/>
      <c r="L29" s="11"/>
      <c r="M29" s="11"/>
      <c r="P29" s="1086" t="s">
        <v>12</v>
      </c>
      <c r="Q29" s="1086"/>
    </row>
    <row r="30" spans="1:22" ht="12.75" customHeight="1" x14ac:dyDescent="0.2">
      <c r="A30" s="1086" t="s">
        <v>13</v>
      </c>
      <c r="B30" s="1086"/>
      <c r="C30" s="1086"/>
      <c r="D30" s="1086"/>
      <c r="E30" s="1086"/>
      <c r="F30" s="1086"/>
      <c r="G30" s="1086"/>
      <c r="H30" s="1086"/>
      <c r="I30" s="1086"/>
      <c r="J30" s="1086"/>
      <c r="K30" s="1086"/>
      <c r="L30" s="1086"/>
      <c r="M30" s="1086"/>
      <c r="N30" s="1086"/>
      <c r="O30" s="1086"/>
      <c r="P30" s="1086"/>
      <c r="Q30" s="1086"/>
    </row>
    <row r="31" spans="1:22" ht="12.75" customHeight="1" x14ac:dyDescent="0.2">
      <c r="A31" s="1086" t="s">
        <v>19</v>
      </c>
      <c r="B31" s="1086"/>
      <c r="C31" s="1086"/>
      <c r="D31" s="1086"/>
      <c r="E31" s="1086"/>
      <c r="F31" s="1086"/>
      <c r="G31" s="1086"/>
      <c r="H31" s="1086"/>
      <c r="I31" s="1086"/>
      <c r="J31" s="1086"/>
      <c r="K31" s="1086"/>
      <c r="L31" s="1086"/>
      <c r="M31" s="1086"/>
      <c r="N31" s="1086"/>
      <c r="O31" s="1086"/>
      <c r="P31" s="1086"/>
      <c r="Q31" s="1086"/>
    </row>
    <row r="32" spans="1:22" x14ac:dyDescent="0.2">
      <c r="A32" s="11"/>
      <c r="B32" s="11"/>
      <c r="C32" s="11"/>
      <c r="D32" s="11"/>
      <c r="E32" s="11"/>
      <c r="F32" s="11"/>
      <c r="G32" s="11"/>
      <c r="H32" s="11"/>
      <c r="I32" s="11"/>
      <c r="J32" s="11"/>
      <c r="K32" s="11"/>
      <c r="L32" s="11"/>
      <c r="M32" s="11"/>
      <c r="O32" s="985" t="s">
        <v>85</v>
      </c>
      <c r="P32" s="985"/>
      <c r="Q32" s="985"/>
      <c r="R32" s="24"/>
    </row>
    <row r="34" spans="3:18" x14ac:dyDescent="0.2">
      <c r="C34" s="641"/>
      <c r="D34" s="641"/>
      <c r="E34" s="641"/>
      <c r="F34" s="641"/>
      <c r="G34" s="641"/>
      <c r="H34" s="641"/>
      <c r="I34" s="641"/>
      <c r="J34" s="641"/>
      <c r="K34" s="641"/>
      <c r="L34" s="641"/>
      <c r="M34" s="641"/>
      <c r="N34" s="641"/>
      <c r="O34" s="641"/>
      <c r="P34" s="641"/>
      <c r="Q34" s="641"/>
      <c r="R34" s="641"/>
    </row>
    <row r="35" spans="3:18" x14ac:dyDescent="0.2">
      <c r="C35" s="641"/>
      <c r="D35" s="641"/>
      <c r="E35" s="641"/>
      <c r="F35" s="641"/>
      <c r="G35" s="641"/>
      <c r="H35" s="641"/>
      <c r="I35" s="641"/>
      <c r="J35" s="641"/>
      <c r="K35" s="641"/>
      <c r="L35" s="641"/>
      <c r="M35" s="641"/>
      <c r="N35" s="641"/>
      <c r="O35" s="641"/>
      <c r="P35" s="641"/>
      <c r="Q35" s="641"/>
      <c r="R35" s="641"/>
    </row>
    <row r="36" spans="3:18" x14ac:dyDescent="0.2">
      <c r="C36" s="641"/>
      <c r="D36" s="641"/>
      <c r="E36" s="641"/>
      <c r="F36" s="641"/>
      <c r="G36" s="641"/>
      <c r="H36" s="641"/>
      <c r="I36" s="641"/>
      <c r="J36" s="641"/>
      <c r="K36" s="641"/>
      <c r="L36" s="641"/>
      <c r="M36" s="641"/>
      <c r="N36" s="641"/>
      <c r="O36" s="641"/>
      <c r="P36" s="641"/>
      <c r="Q36" s="641"/>
      <c r="R36" s="641"/>
    </row>
  </sheetData>
  <mergeCells count="20">
    <mergeCell ref="F8:H8"/>
    <mergeCell ref="A7:C7"/>
    <mergeCell ref="A4:Q4"/>
    <mergeCell ref="A28:Q28"/>
    <mergeCell ref="O32:Q32"/>
    <mergeCell ref="A24:B24"/>
    <mergeCell ref="R1:R8"/>
    <mergeCell ref="A31:Q31"/>
    <mergeCell ref="I8:K8"/>
    <mergeCell ref="L8:N8"/>
    <mergeCell ref="O8:Q8"/>
    <mergeCell ref="P29:Q29"/>
    <mergeCell ref="A30:Q30"/>
    <mergeCell ref="P1:Q1"/>
    <mergeCell ref="A2:Q2"/>
    <mergeCell ref="A3:Q3"/>
    <mergeCell ref="N7:Q7"/>
    <mergeCell ref="A8:A9"/>
    <mergeCell ref="B8:B9"/>
    <mergeCell ref="C8:E8"/>
  </mergeCells>
  <phoneticPr fontId="0" type="noConversion"/>
  <printOptions horizontalCentered="1"/>
  <pageMargins left="0.38" right="0.41" top="0.23622047244094491" bottom="0" header="0.31496062992125984" footer="0.31496062992125984"/>
  <pageSetup paperSize="9" scale="8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00000"/>
    <pageSetUpPr fitToPage="1"/>
  </sheetPr>
  <dimension ref="A2:AA39"/>
  <sheetViews>
    <sheetView view="pageBreakPreview" topLeftCell="A16" zoomScale="80" zoomScaleSheetLayoutView="80" workbookViewId="0">
      <selection activeCell="K30" sqref="K30"/>
    </sheetView>
  </sheetViews>
  <sheetFormatPr defaultRowHeight="12.75" x14ac:dyDescent="0.2"/>
  <cols>
    <col min="1" max="1" width="7.85546875" customWidth="1"/>
    <col min="2" max="2" width="16" customWidth="1"/>
    <col min="3" max="3" width="14" customWidth="1"/>
    <col min="4" max="4" width="10.7109375" customWidth="1"/>
    <col min="5" max="5" width="12.42578125" customWidth="1"/>
    <col min="6" max="7" width="12" customWidth="1"/>
    <col min="10" max="10" width="11" customWidth="1"/>
    <col min="11" max="11" width="12" bestFit="1" customWidth="1"/>
    <col min="12" max="12" width="9.5703125" bestFit="1" customWidth="1"/>
    <col min="13" max="15" width="9.28515625" bestFit="1" customWidth="1"/>
    <col min="16" max="16" width="10" customWidth="1"/>
    <col min="17" max="17" width="8.85546875" customWidth="1"/>
    <col min="19" max="19" width="10.140625" customWidth="1"/>
    <col min="20" max="20" width="15.42578125" customWidth="1"/>
    <col min="21" max="21" width="14.7109375" customWidth="1"/>
    <col min="22" max="22" width="13.7109375" customWidth="1"/>
  </cols>
  <sheetData>
    <row r="2" spans="1:27" ht="15" x14ac:dyDescent="0.2">
      <c r="R2" s="32"/>
      <c r="U2" s="1143" t="s">
        <v>67</v>
      </c>
      <c r="V2" s="1143"/>
    </row>
    <row r="3" spans="1:27" ht="18" x14ac:dyDescent="0.25">
      <c r="A3" s="1158" t="s">
        <v>0</v>
      </c>
      <c r="B3" s="1158"/>
      <c r="C3" s="1158"/>
      <c r="D3" s="1158"/>
      <c r="E3" s="1158"/>
      <c r="F3" s="1158"/>
      <c r="G3" s="1158"/>
      <c r="H3" s="1158"/>
      <c r="I3" s="1158"/>
      <c r="J3" s="1158"/>
      <c r="K3" s="1158"/>
      <c r="L3" s="1158"/>
      <c r="M3" s="1158"/>
      <c r="N3" s="1158"/>
      <c r="O3" s="1158"/>
      <c r="P3" s="1158"/>
      <c r="Q3" s="1158"/>
      <c r="R3" s="1158"/>
      <c r="S3" s="1158"/>
      <c r="T3" s="1158"/>
      <c r="U3" s="1158"/>
      <c r="V3" s="1158"/>
    </row>
    <row r="4" spans="1:27" ht="18" x14ac:dyDescent="0.25">
      <c r="A4" s="1154" t="s">
        <v>794</v>
      </c>
      <c r="B4" s="1154"/>
      <c r="C4" s="1154"/>
      <c r="D4" s="1154"/>
      <c r="E4" s="1154"/>
      <c r="F4" s="1154"/>
      <c r="G4" s="1154"/>
      <c r="H4" s="1154"/>
      <c r="I4" s="1154"/>
      <c r="J4" s="1154"/>
      <c r="K4" s="1154"/>
      <c r="L4" s="1154"/>
      <c r="M4" s="1154"/>
      <c r="N4" s="1154"/>
      <c r="O4" s="1154"/>
      <c r="P4" s="1154"/>
      <c r="Q4" s="1154"/>
      <c r="R4" s="1154"/>
      <c r="S4" s="1154"/>
      <c r="T4" s="1154"/>
      <c r="U4" s="1154"/>
      <c r="V4" s="1154"/>
    </row>
    <row r="5" spans="1:27" ht="15.75" x14ac:dyDescent="0.25">
      <c r="D5" s="70"/>
      <c r="E5" s="70"/>
      <c r="F5" s="70"/>
      <c r="G5" s="70"/>
      <c r="H5" s="70"/>
      <c r="I5" s="70"/>
      <c r="J5" s="70"/>
      <c r="K5" s="70"/>
      <c r="L5" s="70"/>
      <c r="M5" s="70"/>
      <c r="N5" s="70"/>
      <c r="O5" s="70"/>
      <c r="P5" s="70"/>
      <c r="Q5" s="70"/>
    </row>
    <row r="6" spans="1:27" ht="20.25" x14ac:dyDescent="0.3">
      <c r="A6" s="1159" t="s">
        <v>253</v>
      </c>
      <c r="B6" s="1159"/>
      <c r="C6" s="1159"/>
      <c r="D6" s="1159"/>
      <c r="E6" s="1159"/>
      <c r="F6" s="1159"/>
      <c r="G6" s="1159"/>
      <c r="H6" s="1159"/>
      <c r="I6" s="1159"/>
      <c r="J6" s="1159"/>
      <c r="K6" s="1159"/>
      <c r="L6" s="1159"/>
      <c r="M6" s="1159"/>
      <c r="N6" s="1159"/>
      <c r="O6" s="1159"/>
      <c r="P6" s="1159"/>
      <c r="Q6" s="1159"/>
      <c r="R6" s="1159"/>
      <c r="S6" s="1159"/>
      <c r="T6" s="1159"/>
      <c r="U6" s="1159"/>
      <c r="V6" s="1159"/>
    </row>
    <row r="7" spans="1:27" ht="15.75" x14ac:dyDescent="0.25">
      <c r="A7" s="36"/>
      <c r="B7" s="30"/>
      <c r="C7" s="30"/>
      <c r="D7" s="30"/>
      <c r="E7" s="30"/>
      <c r="F7" s="30"/>
      <c r="G7" s="30"/>
      <c r="H7" s="30"/>
      <c r="I7" s="30"/>
      <c r="J7" s="30"/>
      <c r="K7" s="30"/>
      <c r="L7" s="30"/>
      <c r="M7" s="30"/>
      <c r="N7" s="30"/>
      <c r="O7" s="30"/>
      <c r="P7" s="24"/>
      <c r="Q7" s="24"/>
      <c r="R7" s="24"/>
      <c r="S7" s="24"/>
      <c r="U7" s="24" t="s">
        <v>247</v>
      </c>
    </row>
    <row r="8" spans="1:27" s="468" customFormat="1" ht="12" x14ac:dyDescent="0.2">
      <c r="A8" s="1068" t="s">
        <v>463</v>
      </c>
      <c r="B8" s="1068"/>
      <c r="C8" s="1068"/>
      <c r="P8" s="1153"/>
      <c r="Q8" s="1153"/>
      <c r="R8" s="1153"/>
      <c r="S8" s="1153"/>
      <c r="T8" s="483" t="s">
        <v>917</v>
      </c>
      <c r="U8" s="483"/>
      <c r="V8" s="483"/>
      <c r="W8" s="484"/>
    </row>
    <row r="9" spans="1:27" s="485" customFormat="1" ht="35.25" customHeight="1" x14ac:dyDescent="0.2">
      <c r="A9" s="1155" t="s">
        <v>25</v>
      </c>
      <c r="B9" s="961" t="s">
        <v>220</v>
      </c>
      <c r="C9" s="961" t="s">
        <v>231</v>
      </c>
      <c r="D9" s="961" t="s">
        <v>232</v>
      </c>
      <c r="E9" s="959" t="s">
        <v>845</v>
      </c>
      <c r="F9" s="959"/>
      <c r="G9" s="959"/>
      <c r="H9" s="969" t="s">
        <v>843</v>
      </c>
      <c r="I9" s="970"/>
      <c r="J9" s="971"/>
      <c r="K9" s="967" t="s">
        <v>586</v>
      </c>
      <c r="L9" s="1157"/>
      <c r="M9" s="968"/>
      <c r="N9" s="967" t="s">
        <v>172</v>
      </c>
      <c r="O9" s="1157"/>
      <c r="P9" s="968"/>
      <c r="Q9" s="960" t="s">
        <v>916</v>
      </c>
      <c r="R9" s="960"/>
      <c r="S9" s="960"/>
      <c r="T9" s="961" t="s">
        <v>276</v>
      </c>
      <c r="U9" s="960" t="s">
        <v>515</v>
      </c>
      <c r="V9" s="960" t="s">
        <v>516</v>
      </c>
    </row>
    <row r="10" spans="1:27" s="485" customFormat="1" ht="65.25" customHeight="1" x14ac:dyDescent="0.2">
      <c r="A10" s="1156"/>
      <c r="B10" s="962"/>
      <c r="C10" s="962"/>
      <c r="D10" s="962"/>
      <c r="E10" s="198" t="s">
        <v>193</v>
      </c>
      <c r="F10" s="198" t="s">
        <v>223</v>
      </c>
      <c r="G10" s="198" t="s">
        <v>18</v>
      </c>
      <c r="H10" s="198" t="s">
        <v>193</v>
      </c>
      <c r="I10" s="198" t="s">
        <v>223</v>
      </c>
      <c r="J10" s="198" t="s">
        <v>18</v>
      </c>
      <c r="K10" s="198" t="s">
        <v>193</v>
      </c>
      <c r="L10" s="198" t="s">
        <v>223</v>
      </c>
      <c r="M10" s="198" t="s">
        <v>18</v>
      </c>
      <c r="N10" s="198" t="s">
        <v>193</v>
      </c>
      <c r="O10" s="198" t="s">
        <v>223</v>
      </c>
      <c r="P10" s="198" t="s">
        <v>18</v>
      </c>
      <c r="Q10" s="637" t="s">
        <v>408</v>
      </c>
      <c r="R10" s="657" t="s">
        <v>767</v>
      </c>
      <c r="S10" s="198" t="s">
        <v>409</v>
      </c>
      <c r="T10" s="962"/>
      <c r="U10" s="960"/>
      <c r="V10" s="960"/>
    </row>
    <row r="11" spans="1:27" ht="21.75" customHeight="1" x14ac:dyDescent="0.2">
      <c r="A11" s="92">
        <v>1</v>
      </c>
      <c r="B11" s="69">
        <v>2</v>
      </c>
      <c r="C11" s="218">
        <v>3</v>
      </c>
      <c r="D11" s="218">
        <v>4</v>
      </c>
      <c r="E11" s="218">
        <v>5</v>
      </c>
      <c r="F11" s="218">
        <v>6</v>
      </c>
      <c r="G11" s="218">
        <v>7</v>
      </c>
      <c r="H11" s="218">
        <v>8</v>
      </c>
      <c r="I11" s="218">
        <v>9</v>
      </c>
      <c r="J11" s="218">
        <v>10</v>
      </c>
      <c r="K11" s="218">
        <v>11</v>
      </c>
      <c r="L11" s="218">
        <v>12</v>
      </c>
      <c r="M11" s="218">
        <v>13</v>
      </c>
      <c r="N11" s="218">
        <v>14</v>
      </c>
      <c r="O11" s="218">
        <v>15</v>
      </c>
      <c r="P11" s="218">
        <v>16</v>
      </c>
      <c r="Q11" s="218">
        <v>17</v>
      </c>
      <c r="R11" s="218">
        <v>18</v>
      </c>
      <c r="S11" s="218">
        <v>19</v>
      </c>
      <c r="T11" s="218">
        <v>20</v>
      </c>
      <c r="U11" s="69">
        <v>21</v>
      </c>
      <c r="V11" s="69">
        <v>22</v>
      </c>
      <c r="W11" s="485"/>
      <c r="X11" s="485"/>
      <c r="Y11" s="485"/>
      <c r="Z11" s="485"/>
      <c r="AA11" s="485"/>
    </row>
    <row r="12" spans="1:27" s="38" customFormat="1" ht="37.5" customHeight="1" x14ac:dyDescent="0.2">
      <c r="A12" s="197">
        <v>1</v>
      </c>
      <c r="B12" s="225" t="s">
        <v>392</v>
      </c>
      <c r="C12" s="205">
        <v>2190</v>
      </c>
      <c r="D12" s="349">
        <v>1675</v>
      </c>
      <c r="E12" s="361">
        <v>197.1</v>
      </c>
      <c r="F12" s="361">
        <v>240.9</v>
      </c>
      <c r="G12" s="776">
        <f>E12+F12</f>
        <v>438</v>
      </c>
      <c r="H12" s="361">
        <v>35.67</v>
      </c>
      <c r="I12" s="361">
        <v>38.9</v>
      </c>
      <c r="J12" s="776">
        <f>H12+I12</f>
        <v>74.569999999999993</v>
      </c>
      <c r="K12" s="361">
        <v>161.43</v>
      </c>
      <c r="L12" s="361">
        <f>235.5-22.2</f>
        <v>213.3</v>
      </c>
      <c r="M12" s="776">
        <f>K12+L12</f>
        <v>374.73</v>
      </c>
      <c r="N12" s="361">
        <v>151.29</v>
      </c>
      <c r="O12" s="361">
        <v>218.41</v>
      </c>
      <c r="P12" s="776">
        <f>N12+O12</f>
        <v>369.7</v>
      </c>
      <c r="Q12" s="361">
        <f>H12+K12-N12</f>
        <v>45.810000000000031</v>
      </c>
      <c r="R12" s="361">
        <f>I12+L12-O12</f>
        <v>33.79000000000002</v>
      </c>
      <c r="S12" s="361">
        <f>J12+M12-P12</f>
        <v>79.600000000000023</v>
      </c>
      <c r="T12" s="205" t="s">
        <v>660</v>
      </c>
      <c r="U12" s="205">
        <f>D12</f>
        <v>1675</v>
      </c>
      <c r="V12" s="205">
        <f>U12</f>
        <v>1675</v>
      </c>
      <c r="W12" s="485"/>
      <c r="X12" s="485"/>
      <c r="Y12" s="485"/>
      <c r="Z12" s="485"/>
      <c r="AA12" s="485"/>
    </row>
    <row r="13" spans="1:27" s="38" customFormat="1" ht="37.5" customHeight="1" x14ac:dyDescent="0.2">
      <c r="A13" s="197">
        <v>2</v>
      </c>
      <c r="B13" s="225" t="s">
        <v>393</v>
      </c>
      <c r="C13" s="205">
        <v>925</v>
      </c>
      <c r="D13" s="349">
        <v>757</v>
      </c>
      <c r="E13" s="361">
        <v>83.25</v>
      </c>
      <c r="F13" s="361">
        <v>101.75</v>
      </c>
      <c r="G13" s="776">
        <f t="shared" ref="G13:G24" si="0">E13+F13</f>
        <v>185</v>
      </c>
      <c r="H13" s="361">
        <v>13.37</v>
      </c>
      <c r="I13" s="361">
        <v>14.17</v>
      </c>
      <c r="J13" s="776">
        <f t="shared" ref="J13:J24" si="1">H13+I13</f>
        <v>27.54</v>
      </c>
      <c r="K13" s="361">
        <v>69.88</v>
      </c>
      <c r="L13" s="361">
        <v>102.72</v>
      </c>
      <c r="M13" s="846">
        <f t="shared" ref="M13:M24" si="2">K13+L13</f>
        <v>172.6</v>
      </c>
      <c r="N13" s="361">
        <v>68.13</v>
      </c>
      <c r="O13" s="361">
        <v>98.41</v>
      </c>
      <c r="P13" s="776">
        <f t="shared" ref="P13:P24" si="3">N13+O13</f>
        <v>166.54</v>
      </c>
      <c r="Q13" s="361">
        <f t="shared" ref="Q13:Q24" si="4">H13+K13-N13</f>
        <v>15.120000000000005</v>
      </c>
      <c r="R13" s="361">
        <f t="shared" ref="R13:R24" si="5">I13+L13-O13</f>
        <v>18.480000000000004</v>
      </c>
      <c r="S13" s="361">
        <f t="shared" ref="S13:S24" si="6">J13+M13-P13</f>
        <v>33.599999999999994</v>
      </c>
      <c r="T13" s="205" t="s">
        <v>660</v>
      </c>
      <c r="U13" s="205">
        <f t="shared" ref="U13:U24" si="7">D13</f>
        <v>757</v>
      </c>
      <c r="V13" s="205">
        <f t="shared" ref="V13:V24" si="8">U13</f>
        <v>757</v>
      </c>
      <c r="W13" s="485"/>
      <c r="X13" s="485"/>
      <c r="Y13" s="485"/>
      <c r="Z13" s="485"/>
      <c r="AA13" s="485"/>
    </row>
    <row r="14" spans="1:27" s="38" customFormat="1" ht="37.5" customHeight="1" x14ac:dyDescent="0.2">
      <c r="A14" s="197">
        <v>3</v>
      </c>
      <c r="B14" s="225" t="s">
        <v>394</v>
      </c>
      <c r="C14" s="205">
        <v>1467</v>
      </c>
      <c r="D14" s="349">
        <v>1283</v>
      </c>
      <c r="E14" s="361">
        <v>132.03</v>
      </c>
      <c r="F14" s="361">
        <v>161.37</v>
      </c>
      <c r="G14" s="776">
        <f t="shared" si="0"/>
        <v>293.39999999999998</v>
      </c>
      <c r="H14" s="361">
        <v>13.85</v>
      </c>
      <c r="I14" s="361">
        <v>12.95</v>
      </c>
      <c r="J14" s="776">
        <f t="shared" si="1"/>
        <v>26.799999999999997</v>
      </c>
      <c r="K14" s="361">
        <v>118.18</v>
      </c>
      <c r="L14" s="361">
        <v>174.08</v>
      </c>
      <c r="M14" s="846">
        <f t="shared" si="2"/>
        <v>292.26</v>
      </c>
      <c r="N14" s="361">
        <v>115.47</v>
      </c>
      <c r="O14" s="361">
        <v>166.79</v>
      </c>
      <c r="P14" s="776">
        <f t="shared" si="3"/>
        <v>282.26</v>
      </c>
      <c r="Q14" s="361">
        <f t="shared" si="4"/>
        <v>16.560000000000002</v>
      </c>
      <c r="R14" s="361">
        <f t="shared" si="5"/>
        <v>20.240000000000009</v>
      </c>
      <c r="S14" s="361">
        <f t="shared" si="6"/>
        <v>36.800000000000011</v>
      </c>
      <c r="T14" s="205" t="s">
        <v>660</v>
      </c>
      <c r="U14" s="205">
        <f t="shared" si="7"/>
        <v>1283</v>
      </c>
      <c r="V14" s="205">
        <f t="shared" si="8"/>
        <v>1283</v>
      </c>
      <c r="W14" s="485"/>
      <c r="X14" s="485"/>
      <c r="Y14" s="485"/>
      <c r="Z14" s="485"/>
      <c r="AA14" s="485"/>
    </row>
    <row r="15" spans="1:27" s="38" customFormat="1" ht="37.5" customHeight="1" x14ac:dyDescent="0.2">
      <c r="A15" s="197">
        <v>4</v>
      </c>
      <c r="B15" s="225" t="s">
        <v>395</v>
      </c>
      <c r="C15" s="205">
        <v>871</v>
      </c>
      <c r="D15" s="349">
        <v>721</v>
      </c>
      <c r="E15" s="361">
        <v>78.39</v>
      </c>
      <c r="F15" s="361">
        <v>95.81</v>
      </c>
      <c r="G15" s="776">
        <f t="shared" si="0"/>
        <v>174.2</v>
      </c>
      <c r="H15" s="361">
        <v>8.64</v>
      </c>
      <c r="I15" s="361">
        <v>9.2799999999999994</v>
      </c>
      <c r="J15" s="776">
        <f t="shared" si="1"/>
        <v>17.920000000000002</v>
      </c>
      <c r="K15" s="361">
        <v>69.75</v>
      </c>
      <c r="L15" s="361">
        <v>100.95</v>
      </c>
      <c r="M15" s="846">
        <f t="shared" si="2"/>
        <v>170.7</v>
      </c>
      <c r="N15" s="361">
        <v>64.89</v>
      </c>
      <c r="O15" s="361">
        <v>93.73</v>
      </c>
      <c r="P15" s="776">
        <f t="shared" si="3"/>
        <v>158.62</v>
      </c>
      <c r="Q15" s="361">
        <f t="shared" si="4"/>
        <v>13.5</v>
      </c>
      <c r="R15" s="361">
        <f t="shared" si="5"/>
        <v>16.5</v>
      </c>
      <c r="S15" s="361">
        <f t="shared" si="6"/>
        <v>30</v>
      </c>
      <c r="T15" s="205" t="s">
        <v>660</v>
      </c>
      <c r="U15" s="205">
        <f t="shared" si="7"/>
        <v>721</v>
      </c>
      <c r="V15" s="205">
        <f t="shared" si="8"/>
        <v>721</v>
      </c>
      <c r="W15" s="485"/>
      <c r="X15" s="485"/>
      <c r="Y15" s="485"/>
      <c r="Z15" s="485"/>
      <c r="AA15" s="485"/>
    </row>
    <row r="16" spans="1:27" s="38" customFormat="1" ht="37.5" customHeight="1" x14ac:dyDescent="0.2">
      <c r="A16" s="197">
        <v>5</v>
      </c>
      <c r="B16" s="227" t="s">
        <v>396</v>
      </c>
      <c r="C16" s="205">
        <v>1778</v>
      </c>
      <c r="D16" s="349">
        <v>1561</v>
      </c>
      <c r="E16" s="361">
        <v>160.02000000000001</v>
      </c>
      <c r="F16" s="361">
        <v>195.58</v>
      </c>
      <c r="G16" s="776">
        <f t="shared" si="0"/>
        <v>355.6</v>
      </c>
      <c r="H16" s="361">
        <v>15.4</v>
      </c>
      <c r="I16" s="361">
        <v>14.22</v>
      </c>
      <c r="J16" s="776">
        <f t="shared" si="1"/>
        <v>29.62</v>
      </c>
      <c r="K16" s="361">
        <v>144.62</v>
      </c>
      <c r="L16" s="361">
        <f>212.58-20</f>
        <v>192.58</v>
      </c>
      <c r="M16" s="846">
        <f t="shared" si="2"/>
        <v>337.20000000000005</v>
      </c>
      <c r="N16" s="361">
        <v>140.22999999999999</v>
      </c>
      <c r="O16" s="361">
        <v>202.61</v>
      </c>
      <c r="P16" s="776">
        <f t="shared" si="3"/>
        <v>342.84000000000003</v>
      </c>
      <c r="Q16" s="361">
        <f t="shared" si="4"/>
        <v>19.79000000000002</v>
      </c>
      <c r="R16" s="361">
        <f t="shared" si="5"/>
        <v>4.1899999999999977</v>
      </c>
      <c r="S16" s="361">
        <f t="shared" si="6"/>
        <v>23.980000000000018</v>
      </c>
      <c r="T16" s="205" t="s">
        <v>660</v>
      </c>
      <c r="U16" s="205">
        <f t="shared" si="7"/>
        <v>1561</v>
      </c>
      <c r="V16" s="205">
        <f t="shared" si="8"/>
        <v>1561</v>
      </c>
      <c r="W16" s="485"/>
      <c r="X16" s="485"/>
      <c r="Y16" s="485"/>
      <c r="Z16" s="485"/>
      <c r="AA16" s="485"/>
    </row>
    <row r="17" spans="1:27" s="38" customFormat="1" ht="37.5" customHeight="1" x14ac:dyDescent="0.2">
      <c r="A17" s="197">
        <v>6</v>
      </c>
      <c r="B17" s="225" t="s">
        <v>397</v>
      </c>
      <c r="C17" s="205">
        <v>2057</v>
      </c>
      <c r="D17" s="349">
        <v>1668</v>
      </c>
      <c r="E17" s="361">
        <v>185.13</v>
      </c>
      <c r="F17" s="361">
        <v>226.27</v>
      </c>
      <c r="G17" s="776">
        <f t="shared" si="0"/>
        <v>411.4</v>
      </c>
      <c r="H17" s="361">
        <v>37.380000000000003</v>
      </c>
      <c r="I17" s="361">
        <v>39.69</v>
      </c>
      <c r="J17" s="776">
        <f t="shared" si="1"/>
        <v>77.069999999999993</v>
      </c>
      <c r="K17" s="361">
        <v>147.75</v>
      </c>
      <c r="L17" s="361">
        <v>219.94</v>
      </c>
      <c r="M17" s="846">
        <f t="shared" si="2"/>
        <v>367.69</v>
      </c>
      <c r="N17" s="361">
        <v>148.56</v>
      </c>
      <c r="O17" s="361">
        <v>214.94</v>
      </c>
      <c r="P17" s="776">
        <f t="shared" si="3"/>
        <v>363.5</v>
      </c>
      <c r="Q17" s="361">
        <f t="shared" si="4"/>
        <v>36.569999999999993</v>
      </c>
      <c r="R17" s="361">
        <f t="shared" si="5"/>
        <v>44.69</v>
      </c>
      <c r="S17" s="361">
        <f t="shared" si="6"/>
        <v>81.259999999999991</v>
      </c>
      <c r="T17" s="205" t="s">
        <v>660</v>
      </c>
      <c r="U17" s="205">
        <f t="shared" si="7"/>
        <v>1668</v>
      </c>
      <c r="V17" s="205">
        <f t="shared" si="8"/>
        <v>1668</v>
      </c>
      <c r="W17" s="485"/>
      <c r="X17" s="485"/>
      <c r="Y17" s="485"/>
      <c r="Z17" s="485"/>
      <c r="AA17" s="485"/>
    </row>
    <row r="18" spans="1:27" s="38" customFormat="1" ht="37.5" customHeight="1" x14ac:dyDescent="0.2">
      <c r="A18" s="197">
        <v>7</v>
      </c>
      <c r="B18" s="227" t="s">
        <v>398</v>
      </c>
      <c r="C18" s="205">
        <v>1894</v>
      </c>
      <c r="D18" s="349">
        <v>1474</v>
      </c>
      <c r="E18" s="361">
        <v>170.46</v>
      </c>
      <c r="F18" s="361">
        <v>208.34</v>
      </c>
      <c r="G18" s="776">
        <f t="shared" si="0"/>
        <v>378.8</v>
      </c>
      <c r="H18" s="361">
        <v>32.200000000000003</v>
      </c>
      <c r="I18" s="361">
        <v>35.799999999999997</v>
      </c>
      <c r="J18" s="776">
        <f t="shared" si="1"/>
        <v>68</v>
      </c>
      <c r="K18" s="361">
        <v>138.26</v>
      </c>
      <c r="L18" s="361">
        <v>202.02</v>
      </c>
      <c r="M18" s="846">
        <f t="shared" si="2"/>
        <v>340.28</v>
      </c>
      <c r="N18" s="361">
        <v>132.38</v>
      </c>
      <c r="O18" s="361">
        <v>191.28</v>
      </c>
      <c r="P18" s="776">
        <f t="shared" si="3"/>
        <v>323.65999999999997</v>
      </c>
      <c r="Q18" s="361">
        <f t="shared" si="4"/>
        <v>38.079999999999984</v>
      </c>
      <c r="R18" s="361">
        <f t="shared" si="5"/>
        <v>46.539999999999992</v>
      </c>
      <c r="S18" s="361">
        <f t="shared" si="6"/>
        <v>84.62</v>
      </c>
      <c r="T18" s="205" t="s">
        <v>660</v>
      </c>
      <c r="U18" s="205">
        <f t="shared" si="7"/>
        <v>1474</v>
      </c>
      <c r="V18" s="205">
        <f t="shared" si="8"/>
        <v>1474</v>
      </c>
      <c r="W18" s="485"/>
      <c r="X18" s="485"/>
      <c r="Y18" s="485"/>
      <c r="Z18" s="485"/>
      <c r="AA18" s="485"/>
    </row>
    <row r="19" spans="1:27" s="38" customFormat="1" ht="37.5" customHeight="1" x14ac:dyDescent="0.2">
      <c r="A19" s="197">
        <v>8</v>
      </c>
      <c r="B19" s="225" t="s">
        <v>399</v>
      </c>
      <c r="C19" s="205">
        <v>2308</v>
      </c>
      <c r="D19" s="349">
        <v>1842</v>
      </c>
      <c r="E19" s="361">
        <v>207.72</v>
      </c>
      <c r="F19" s="361">
        <v>253.88</v>
      </c>
      <c r="G19" s="776">
        <f t="shared" si="0"/>
        <v>461.6</v>
      </c>
      <c r="H19" s="361">
        <v>34.17</v>
      </c>
      <c r="I19" s="361">
        <v>36.14</v>
      </c>
      <c r="J19" s="776">
        <f t="shared" si="1"/>
        <v>70.31</v>
      </c>
      <c r="K19" s="361">
        <v>173.55</v>
      </c>
      <c r="L19" s="361">
        <f>254.58-30</f>
        <v>224.58</v>
      </c>
      <c r="M19" s="846">
        <f t="shared" si="2"/>
        <v>398.13</v>
      </c>
      <c r="N19" s="361">
        <v>165.71</v>
      </c>
      <c r="O19" s="361">
        <v>239.37</v>
      </c>
      <c r="P19" s="776">
        <f t="shared" si="3"/>
        <v>405.08000000000004</v>
      </c>
      <c r="Q19" s="361">
        <f t="shared" si="4"/>
        <v>42.010000000000019</v>
      </c>
      <c r="R19" s="361">
        <f t="shared" si="5"/>
        <v>21.350000000000023</v>
      </c>
      <c r="S19" s="361">
        <f t="shared" si="6"/>
        <v>63.359999999999957</v>
      </c>
      <c r="T19" s="205" t="s">
        <v>660</v>
      </c>
      <c r="U19" s="205">
        <f t="shared" si="7"/>
        <v>1842</v>
      </c>
      <c r="V19" s="205">
        <f t="shared" si="8"/>
        <v>1842</v>
      </c>
      <c r="W19" s="485"/>
      <c r="X19" s="485"/>
      <c r="Y19" s="485"/>
      <c r="Z19" s="485"/>
      <c r="AA19" s="485"/>
    </row>
    <row r="20" spans="1:27" s="38" customFormat="1" ht="37.5" customHeight="1" x14ac:dyDescent="0.2">
      <c r="A20" s="197">
        <v>9</v>
      </c>
      <c r="B20" s="225" t="s">
        <v>400</v>
      </c>
      <c r="C20" s="205">
        <v>1635</v>
      </c>
      <c r="D20" s="349">
        <v>1337</v>
      </c>
      <c r="E20" s="361">
        <v>147.15</v>
      </c>
      <c r="F20" s="361">
        <v>179.85</v>
      </c>
      <c r="G20" s="776">
        <f t="shared" si="0"/>
        <v>327</v>
      </c>
      <c r="H20" s="361">
        <v>17.11</v>
      </c>
      <c r="I20" s="361">
        <v>18.09</v>
      </c>
      <c r="J20" s="776">
        <f t="shared" si="1"/>
        <v>35.200000000000003</v>
      </c>
      <c r="K20" s="361">
        <v>130.04</v>
      </c>
      <c r="L20" s="361">
        <v>188.5</v>
      </c>
      <c r="M20" s="846">
        <f t="shared" si="2"/>
        <v>318.53999999999996</v>
      </c>
      <c r="N20" s="361">
        <v>120.33</v>
      </c>
      <c r="O20" s="361">
        <v>173.81</v>
      </c>
      <c r="P20" s="776">
        <f t="shared" si="3"/>
        <v>294.14</v>
      </c>
      <c r="Q20" s="361">
        <f t="shared" si="4"/>
        <v>26.819999999999979</v>
      </c>
      <c r="R20" s="361">
        <f t="shared" si="5"/>
        <v>32.78</v>
      </c>
      <c r="S20" s="361">
        <f t="shared" si="6"/>
        <v>59.599999999999966</v>
      </c>
      <c r="T20" s="205" t="s">
        <v>660</v>
      </c>
      <c r="U20" s="205">
        <f t="shared" si="7"/>
        <v>1337</v>
      </c>
      <c r="V20" s="205">
        <f t="shared" si="8"/>
        <v>1337</v>
      </c>
      <c r="W20" s="485"/>
      <c r="X20" s="485"/>
      <c r="Y20" s="485"/>
      <c r="Z20" s="485"/>
      <c r="AA20" s="485"/>
    </row>
    <row r="21" spans="1:27" s="38" customFormat="1" ht="37.5" customHeight="1" x14ac:dyDescent="0.2">
      <c r="A21" s="197">
        <v>10</v>
      </c>
      <c r="B21" s="225" t="s">
        <v>401</v>
      </c>
      <c r="C21" s="205">
        <v>911</v>
      </c>
      <c r="D21" s="349">
        <v>728</v>
      </c>
      <c r="E21" s="361">
        <v>81.99</v>
      </c>
      <c r="F21" s="361">
        <v>100.21</v>
      </c>
      <c r="G21" s="435">
        <f t="shared" si="0"/>
        <v>182.2</v>
      </c>
      <c r="H21" s="361">
        <v>13.36</v>
      </c>
      <c r="I21" s="361">
        <v>13.77</v>
      </c>
      <c r="J21" s="435">
        <f t="shared" si="1"/>
        <v>27.13</v>
      </c>
      <c r="K21" s="361">
        <v>68.63</v>
      </c>
      <c r="L21" s="361">
        <v>101</v>
      </c>
      <c r="M21" s="846">
        <f t="shared" si="2"/>
        <v>169.63</v>
      </c>
      <c r="N21" s="361">
        <v>65.59</v>
      </c>
      <c r="O21" s="361">
        <v>94.73</v>
      </c>
      <c r="P21" s="435">
        <f t="shared" si="3"/>
        <v>160.32</v>
      </c>
      <c r="Q21" s="361">
        <f t="shared" si="4"/>
        <v>16.399999999999991</v>
      </c>
      <c r="R21" s="361">
        <f t="shared" si="5"/>
        <v>20.039999999999992</v>
      </c>
      <c r="S21" s="361">
        <f t="shared" si="6"/>
        <v>36.44</v>
      </c>
      <c r="T21" s="205" t="s">
        <v>660</v>
      </c>
      <c r="U21" s="205">
        <f>D21</f>
        <v>728</v>
      </c>
      <c r="V21" s="205">
        <f t="shared" si="8"/>
        <v>728</v>
      </c>
      <c r="W21" s="485"/>
      <c r="X21" s="485"/>
      <c r="Y21" s="485"/>
      <c r="Z21" s="485"/>
      <c r="AA21" s="485"/>
    </row>
    <row r="22" spans="1:27" s="38" customFormat="1" ht="37.5" customHeight="1" x14ac:dyDescent="0.2">
      <c r="A22" s="197">
        <v>11</v>
      </c>
      <c r="B22" s="225" t="s">
        <v>402</v>
      </c>
      <c r="C22" s="205">
        <v>2356</v>
      </c>
      <c r="D22" s="349">
        <v>1850</v>
      </c>
      <c r="E22" s="361">
        <v>212.04</v>
      </c>
      <c r="F22" s="361">
        <v>259.16000000000003</v>
      </c>
      <c r="G22" s="776">
        <f t="shared" si="0"/>
        <v>471.20000000000005</v>
      </c>
      <c r="H22" s="361">
        <v>38.08</v>
      </c>
      <c r="I22" s="361">
        <v>40.090000000000003</v>
      </c>
      <c r="J22" s="776">
        <f t="shared" si="1"/>
        <v>78.17</v>
      </c>
      <c r="K22" s="361">
        <v>173.96</v>
      </c>
      <c r="L22" s="361">
        <f>256.07-10</f>
        <v>246.07</v>
      </c>
      <c r="M22" s="846">
        <f t="shared" si="2"/>
        <v>420.03</v>
      </c>
      <c r="N22" s="361">
        <v>166.48</v>
      </c>
      <c r="O22" s="361">
        <v>240.48</v>
      </c>
      <c r="P22" s="776">
        <f t="shared" si="3"/>
        <v>406.96</v>
      </c>
      <c r="Q22" s="361">
        <f t="shared" si="4"/>
        <v>45.560000000000031</v>
      </c>
      <c r="R22" s="361">
        <f t="shared" si="5"/>
        <v>45.679999999999978</v>
      </c>
      <c r="S22" s="361">
        <f t="shared" si="6"/>
        <v>91.240000000000009</v>
      </c>
      <c r="T22" s="205" t="s">
        <v>660</v>
      </c>
      <c r="U22" s="205">
        <f t="shared" si="7"/>
        <v>1850</v>
      </c>
      <c r="V22" s="205">
        <f t="shared" si="8"/>
        <v>1850</v>
      </c>
      <c r="W22" s="485"/>
      <c r="X22" s="485"/>
      <c r="Y22" s="485"/>
      <c r="Z22" s="485"/>
      <c r="AA22" s="485"/>
    </row>
    <row r="23" spans="1:27" s="38" customFormat="1" ht="37.5" customHeight="1" x14ac:dyDescent="0.2">
      <c r="A23" s="197">
        <v>12</v>
      </c>
      <c r="B23" s="225" t="s">
        <v>403</v>
      </c>
      <c r="C23" s="205">
        <v>1995</v>
      </c>
      <c r="D23" s="349">
        <v>1832</v>
      </c>
      <c r="E23" s="361">
        <v>179.55</v>
      </c>
      <c r="F23" s="361">
        <v>219.45</v>
      </c>
      <c r="G23" s="776">
        <f t="shared" si="0"/>
        <v>399</v>
      </c>
      <c r="H23" s="361">
        <v>19.399999999999999</v>
      </c>
      <c r="I23" s="361">
        <v>17.190000000000001</v>
      </c>
      <c r="J23" s="776">
        <f t="shared" si="1"/>
        <v>36.590000000000003</v>
      </c>
      <c r="K23" s="361">
        <v>160.15</v>
      </c>
      <c r="L23" s="361">
        <v>238.9</v>
      </c>
      <c r="M23" s="846">
        <f t="shared" si="2"/>
        <v>399.05</v>
      </c>
      <c r="N23" s="361">
        <v>164.4</v>
      </c>
      <c r="O23" s="361">
        <v>237.58</v>
      </c>
      <c r="P23" s="776">
        <f t="shared" si="3"/>
        <v>401.98</v>
      </c>
      <c r="Q23" s="361">
        <f t="shared" si="4"/>
        <v>15.150000000000006</v>
      </c>
      <c r="R23" s="361">
        <f t="shared" si="5"/>
        <v>18.510000000000019</v>
      </c>
      <c r="S23" s="361">
        <f t="shared" si="6"/>
        <v>33.659999999999968</v>
      </c>
      <c r="T23" s="205" t="s">
        <v>660</v>
      </c>
      <c r="U23" s="205">
        <f t="shared" si="7"/>
        <v>1832</v>
      </c>
      <c r="V23" s="205">
        <f t="shared" si="8"/>
        <v>1832</v>
      </c>
      <c r="W23" s="485"/>
      <c r="X23" s="485"/>
      <c r="Y23" s="485"/>
      <c r="Z23" s="485"/>
      <c r="AA23" s="485"/>
    </row>
    <row r="24" spans="1:27" s="38" customFormat="1" ht="37.5" customHeight="1" x14ac:dyDescent="0.2">
      <c r="A24" s="197">
        <v>13</v>
      </c>
      <c r="B24" s="225" t="s">
        <v>404</v>
      </c>
      <c r="C24" s="205">
        <v>1174</v>
      </c>
      <c r="D24" s="349">
        <v>1033</v>
      </c>
      <c r="E24" s="361">
        <v>105.66</v>
      </c>
      <c r="F24" s="361">
        <v>129.13999999999999</v>
      </c>
      <c r="G24" s="776">
        <f t="shared" si="0"/>
        <v>234.79999999999998</v>
      </c>
      <c r="H24" s="361">
        <v>6.08</v>
      </c>
      <c r="I24" s="361">
        <v>4.37</v>
      </c>
      <c r="J24" s="776">
        <f t="shared" si="1"/>
        <v>10.45</v>
      </c>
      <c r="K24" s="361">
        <v>99.58</v>
      </c>
      <c r="L24" s="361">
        <v>145.43</v>
      </c>
      <c r="M24" s="846">
        <f t="shared" si="2"/>
        <v>245.01</v>
      </c>
      <c r="N24" s="361">
        <v>92.92</v>
      </c>
      <c r="O24" s="361">
        <v>134.22</v>
      </c>
      <c r="P24" s="776">
        <f t="shared" si="3"/>
        <v>227.14</v>
      </c>
      <c r="Q24" s="361">
        <f t="shared" si="4"/>
        <v>12.739999999999995</v>
      </c>
      <c r="R24" s="361">
        <f t="shared" si="5"/>
        <v>15.580000000000013</v>
      </c>
      <c r="S24" s="361">
        <f t="shared" si="6"/>
        <v>28.319999999999993</v>
      </c>
      <c r="T24" s="205" t="s">
        <v>660</v>
      </c>
      <c r="U24" s="205">
        <f t="shared" si="7"/>
        <v>1033</v>
      </c>
      <c r="V24" s="205">
        <f t="shared" si="8"/>
        <v>1033</v>
      </c>
      <c r="W24" s="485"/>
      <c r="X24" s="485"/>
      <c r="Y24" s="485"/>
      <c r="Z24" s="485"/>
      <c r="AA24" s="485"/>
    </row>
    <row r="25" spans="1:27" s="38" customFormat="1" ht="37.5" customHeight="1" x14ac:dyDescent="0.2">
      <c r="A25" s="197" t="s">
        <v>18</v>
      </c>
      <c r="B25" s="197"/>
      <c r="C25" s="197">
        <f t="shared" ref="C25:S25" si="9">SUM(C12:C24)</f>
        <v>21561</v>
      </c>
      <c r="D25" s="197">
        <f t="shared" si="9"/>
        <v>17761</v>
      </c>
      <c r="E25" s="845">
        <f t="shared" si="9"/>
        <v>1940.49</v>
      </c>
      <c r="F25" s="845">
        <f t="shared" si="9"/>
        <v>2371.71</v>
      </c>
      <c r="G25" s="845">
        <f t="shared" si="9"/>
        <v>4312.2</v>
      </c>
      <c r="H25" s="775">
        <f t="shared" si="9"/>
        <v>284.70999999999998</v>
      </c>
      <c r="I25" s="775">
        <f t="shared" si="9"/>
        <v>294.66000000000003</v>
      </c>
      <c r="J25" s="775">
        <f t="shared" si="9"/>
        <v>579.37</v>
      </c>
      <c r="K25" s="775">
        <f t="shared" si="9"/>
        <v>1655.7800000000002</v>
      </c>
      <c r="L25" s="844">
        <f t="shared" si="9"/>
        <v>2350.0699999999997</v>
      </c>
      <c r="M25" s="845">
        <f t="shared" si="9"/>
        <v>4005.8500000000004</v>
      </c>
      <c r="N25" s="775">
        <f t="shared" si="9"/>
        <v>1596.38</v>
      </c>
      <c r="O25" s="775">
        <f t="shared" si="9"/>
        <v>2306.3599999999997</v>
      </c>
      <c r="P25" s="775">
        <f t="shared" si="9"/>
        <v>3902.74</v>
      </c>
      <c r="Q25" s="845">
        <f t="shared" si="9"/>
        <v>344.11</v>
      </c>
      <c r="R25" s="775">
        <f t="shared" si="9"/>
        <v>338.37</v>
      </c>
      <c r="S25" s="775">
        <f t="shared" si="9"/>
        <v>682.48</v>
      </c>
      <c r="T25" s="197"/>
      <c r="U25" s="197">
        <f>SUM(U12:U24)</f>
        <v>17761</v>
      </c>
      <c r="V25" s="197">
        <f>SUM(V12:V24)</f>
        <v>17761</v>
      </c>
      <c r="W25" s="485"/>
      <c r="X25" s="485"/>
      <c r="Y25" s="485"/>
      <c r="Z25" s="485"/>
      <c r="AA25" s="485"/>
    </row>
    <row r="26" spans="1:27" ht="23.25" customHeight="1" x14ac:dyDescent="0.2">
      <c r="A26" s="292"/>
      <c r="B26" s="292"/>
      <c r="C26" s="443"/>
      <c r="D26" s="847"/>
      <c r="E26" s="847"/>
      <c r="F26" s="847"/>
      <c r="G26" s="847"/>
      <c r="H26" s="847"/>
      <c r="I26" s="847"/>
      <c r="J26" s="847"/>
      <c r="K26" s="847"/>
      <c r="L26" s="847"/>
      <c r="M26" s="847"/>
      <c r="N26" s="847"/>
      <c r="O26" s="847"/>
      <c r="P26" s="847"/>
      <c r="Q26" s="847"/>
      <c r="R26" s="847"/>
      <c r="S26" s="847"/>
      <c r="T26" s="443"/>
      <c r="U26" s="443"/>
      <c r="V26" s="443"/>
    </row>
    <row r="27" spans="1:27" ht="20.25" customHeight="1" x14ac:dyDescent="0.2">
      <c r="A27" s="20"/>
      <c r="C27" s="903">
        <f>'AT-8A_Hon_CCH_UPRY'!C26</f>
        <v>11428</v>
      </c>
      <c r="D27" s="903">
        <f>'AT-8A_Hon_CCH_UPRY'!D26</f>
        <v>9614</v>
      </c>
      <c r="E27" s="903">
        <f>'AT-8A_Hon_CCH_UPRY'!E26</f>
        <v>1028.52</v>
      </c>
      <c r="F27" s="903">
        <f>'AT-8A_Hon_CCH_UPRY'!F26</f>
        <v>1257.08</v>
      </c>
      <c r="G27" s="903">
        <f>'AT-8A_Hon_CCH_UPRY'!G26</f>
        <v>2285.6000000000004</v>
      </c>
      <c r="H27" s="903">
        <f>'AT-8A_Hon_CCH_UPRY'!H26</f>
        <v>134.24</v>
      </c>
      <c r="I27" s="903">
        <f>'AT-8A_Hon_CCH_UPRY'!I26</f>
        <v>134.90999999999997</v>
      </c>
      <c r="J27" s="903">
        <f>'AT-8A_Hon_CCH_UPRY'!J26</f>
        <v>269.14999999999998</v>
      </c>
      <c r="K27" s="903">
        <f>'AT-8A_Hon_CCH_UPRY'!K26</f>
        <v>894.27999999999986</v>
      </c>
      <c r="L27" s="903">
        <f>'AT-8A_Hon_CCH_UPRY'!L26</f>
        <v>1231.3799999999999</v>
      </c>
      <c r="M27" s="903">
        <f>'AT-8A_Hon_CCH_UPRY'!M26</f>
        <v>2125.6600000000003</v>
      </c>
      <c r="N27" s="903">
        <f>'AT-8A_Hon_CCH_UPRY'!N26</f>
        <v>863.14999999999986</v>
      </c>
      <c r="O27" s="903">
        <f>'AT-8A_Hon_CCH_UPRY'!O26</f>
        <v>1247.2499999999998</v>
      </c>
      <c r="P27" s="903">
        <f>'AT-8A_Hon_CCH_UPRY'!P26</f>
        <v>2110.4</v>
      </c>
      <c r="Q27" s="903">
        <f>'AT-8A_Hon_CCH_UPRY'!Q26</f>
        <v>165.36999999999995</v>
      </c>
      <c r="R27" s="903">
        <f>'AT-8A_Hon_CCH_UPRY'!R26</f>
        <v>119.03999999999999</v>
      </c>
      <c r="S27" s="903">
        <f>'AT-8A_Hon_CCH_UPRY'!S26</f>
        <v>284.41000000000003</v>
      </c>
      <c r="T27" s="903">
        <f>'AT-8A_Hon_CCH_UPRY'!T26</f>
        <v>0</v>
      </c>
      <c r="U27" s="903">
        <f>'AT-8A_Hon_CCH_UPRY'!U26</f>
        <v>9614</v>
      </c>
      <c r="V27" s="903">
        <f>'AT-8A_Hon_CCH_UPRY'!V26</f>
        <v>9614</v>
      </c>
    </row>
    <row r="28" spans="1:27" ht="20.25" customHeight="1" x14ac:dyDescent="0.2">
      <c r="A28" s="11"/>
      <c r="C28" s="915">
        <f t="shared" ref="C28:M28" si="10">C25+C27</f>
        <v>32989</v>
      </c>
      <c r="D28" s="915">
        <f t="shared" si="10"/>
        <v>27375</v>
      </c>
      <c r="E28" s="915">
        <f t="shared" si="10"/>
        <v>2969.01</v>
      </c>
      <c r="F28" s="915">
        <f t="shared" si="10"/>
        <v>3628.79</v>
      </c>
      <c r="G28" s="915">
        <f t="shared" si="10"/>
        <v>6597.8</v>
      </c>
      <c r="H28" s="11">
        <f t="shared" si="10"/>
        <v>418.95</v>
      </c>
      <c r="I28" s="915">
        <f t="shared" si="10"/>
        <v>429.57</v>
      </c>
      <c r="J28" s="915">
        <f t="shared" si="10"/>
        <v>848.52</v>
      </c>
      <c r="K28" s="11">
        <f t="shared" si="10"/>
        <v>2550.06</v>
      </c>
      <c r="L28" s="915">
        <f t="shared" si="10"/>
        <v>3581.45</v>
      </c>
      <c r="M28" s="915">
        <f t="shared" si="10"/>
        <v>6131.51</v>
      </c>
      <c r="N28" s="11">
        <f>N25+N27</f>
        <v>2459.5299999999997</v>
      </c>
      <c r="O28" s="915">
        <f t="shared" ref="O28:U28" si="11">O25+O27</f>
        <v>3553.6099999999997</v>
      </c>
      <c r="P28" s="915">
        <f t="shared" si="11"/>
        <v>6013.1399999999994</v>
      </c>
      <c r="Q28" s="915">
        <f t="shared" si="11"/>
        <v>509.47999999999996</v>
      </c>
      <c r="R28" s="915">
        <f t="shared" si="11"/>
        <v>457.40999999999997</v>
      </c>
      <c r="S28" s="915">
        <f t="shared" si="11"/>
        <v>966.8900000000001</v>
      </c>
      <c r="T28" s="915">
        <f t="shared" si="11"/>
        <v>0</v>
      </c>
      <c r="U28" s="915">
        <f t="shared" si="11"/>
        <v>27375</v>
      </c>
    </row>
    <row r="29" spans="1:27" x14ac:dyDescent="0.2">
      <c r="N29" s="925">
        <f>N28/(H28+K28)</f>
        <v>0.82840071269547755</v>
      </c>
    </row>
    <row r="30" spans="1:27" ht="15.75" x14ac:dyDescent="0.25">
      <c r="A30" s="10" t="s">
        <v>11</v>
      </c>
      <c r="B30" s="10"/>
      <c r="C30" s="10"/>
      <c r="D30" s="10"/>
      <c r="E30" s="10"/>
      <c r="F30" s="10"/>
      <c r="G30" s="10"/>
      <c r="H30" s="10"/>
      <c r="I30" s="10"/>
      <c r="J30" s="10"/>
      <c r="K30" s="10"/>
      <c r="L30" s="10"/>
      <c r="M30" s="10"/>
      <c r="N30" s="48"/>
      <c r="O30" s="48"/>
      <c r="P30" s="48"/>
      <c r="Q30" s="48"/>
      <c r="R30" s="48"/>
      <c r="S30" s="48"/>
      <c r="T30" s="48"/>
      <c r="U30" s="1160" t="s">
        <v>12</v>
      </c>
      <c r="V30" s="1160"/>
    </row>
    <row r="31" spans="1:27" ht="15.75" x14ac:dyDescent="0.2">
      <c r="A31" s="1160" t="s">
        <v>13</v>
      </c>
      <c r="B31" s="1160"/>
      <c r="C31" s="1160"/>
      <c r="D31" s="1160"/>
      <c r="E31" s="1160"/>
      <c r="F31" s="1160"/>
      <c r="G31" s="1160"/>
      <c r="H31" s="1160"/>
      <c r="I31" s="1160"/>
      <c r="J31" s="1160"/>
      <c r="K31" s="1160"/>
      <c r="L31" s="1160"/>
      <c r="M31" s="1160"/>
      <c r="N31" s="1160"/>
      <c r="O31" s="1160"/>
      <c r="P31" s="1160"/>
      <c r="Q31" s="1160"/>
      <c r="R31" s="1160"/>
      <c r="S31" s="1160"/>
      <c r="T31" s="1160"/>
      <c r="U31" s="1160"/>
      <c r="V31" s="1160"/>
    </row>
    <row r="32" spans="1:27" ht="15.75" x14ac:dyDescent="0.2">
      <c r="A32" s="1160" t="s">
        <v>19</v>
      </c>
      <c r="B32" s="1160"/>
      <c r="C32" s="1160"/>
      <c r="D32" s="1160"/>
      <c r="E32" s="1160"/>
      <c r="F32" s="1160"/>
      <c r="G32" s="1160"/>
      <c r="H32" s="1160"/>
      <c r="I32" s="1160"/>
      <c r="J32" s="1160"/>
      <c r="K32" s="1160"/>
      <c r="L32" s="1160"/>
      <c r="M32" s="1160"/>
      <c r="N32" s="1160"/>
      <c r="O32" s="1160"/>
      <c r="P32" s="1160"/>
      <c r="Q32" s="1160"/>
      <c r="R32" s="1160"/>
      <c r="S32" s="1160"/>
      <c r="T32" s="1160"/>
      <c r="U32" s="1160"/>
      <c r="V32" s="1160"/>
    </row>
    <row r="33" spans="1:22" ht="15.75" x14ac:dyDescent="0.25">
      <c r="A33" s="48"/>
      <c r="B33" s="48"/>
      <c r="C33" s="48"/>
      <c r="D33" s="48"/>
      <c r="E33" s="48"/>
      <c r="F33" s="48"/>
      <c r="G33" s="48"/>
      <c r="H33" s="48"/>
      <c r="I33" s="48"/>
      <c r="J33" s="48"/>
      <c r="K33" s="48"/>
      <c r="L33" s="48"/>
      <c r="M33" s="48"/>
      <c r="N33" s="48"/>
      <c r="O33" s="48"/>
      <c r="P33" s="48"/>
      <c r="Q33" s="48"/>
      <c r="R33" s="48"/>
      <c r="S33" s="48"/>
      <c r="T33" s="70" t="s">
        <v>85</v>
      </c>
      <c r="U33" s="48"/>
      <c r="V33" s="48"/>
    </row>
    <row r="36" spans="1:22" x14ac:dyDescent="0.2">
      <c r="K36">
        <v>742.25</v>
      </c>
    </row>
    <row r="37" spans="1:22" x14ac:dyDescent="0.2">
      <c r="G37">
        <v>284.70999999999998</v>
      </c>
      <c r="J37">
        <v>1655.78</v>
      </c>
      <c r="K37">
        <v>620.20000000000005</v>
      </c>
    </row>
    <row r="38" spans="1:22" x14ac:dyDescent="0.2">
      <c r="G38">
        <v>134.24</v>
      </c>
      <c r="J38">
        <v>894.28</v>
      </c>
      <c r="K38">
        <v>1187.6099999999999</v>
      </c>
    </row>
    <row r="39" spans="1:22" x14ac:dyDescent="0.2">
      <c r="G39" s="11">
        <f>G37+G38</f>
        <v>418.95</v>
      </c>
      <c r="J39" s="11">
        <f>J37+J38</f>
        <v>2550.06</v>
      </c>
      <c r="K39" s="11">
        <f>SUM(K36:K38)</f>
        <v>2550.06</v>
      </c>
    </row>
  </sheetData>
  <mergeCells count="21">
    <mergeCell ref="A32:V32"/>
    <mergeCell ref="C9:C10"/>
    <mergeCell ref="T9:T10"/>
    <mergeCell ref="D9:D10"/>
    <mergeCell ref="B9:B10"/>
    <mergeCell ref="N9:P9"/>
    <mergeCell ref="A31:V31"/>
    <mergeCell ref="U30:V30"/>
    <mergeCell ref="U2:V2"/>
    <mergeCell ref="E9:G9"/>
    <mergeCell ref="Q9:S9"/>
    <mergeCell ref="A8:C8"/>
    <mergeCell ref="P8:S8"/>
    <mergeCell ref="A4:V4"/>
    <mergeCell ref="A9:A10"/>
    <mergeCell ref="U9:U10"/>
    <mergeCell ref="K9:M9"/>
    <mergeCell ref="A3:V3"/>
    <mergeCell ref="V9:V10"/>
    <mergeCell ref="H9:J9"/>
    <mergeCell ref="A6:V6"/>
  </mergeCells>
  <printOptions horizontalCentered="1"/>
  <pageMargins left="0.32" right="0.36" top="0.23622047244094491" bottom="0" header="0.31496062992125984" footer="0.27"/>
  <pageSetup paperSize="9" scale="5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00000"/>
    <pageSetUpPr fitToPage="1"/>
  </sheetPr>
  <dimension ref="A2:Z34"/>
  <sheetViews>
    <sheetView view="pageBreakPreview" topLeftCell="A23" zoomScale="80" zoomScaleSheetLayoutView="80" workbookViewId="0">
      <selection activeCell="O21" sqref="O21"/>
    </sheetView>
  </sheetViews>
  <sheetFormatPr defaultRowHeight="12.75" x14ac:dyDescent="0.2"/>
  <cols>
    <col min="1" max="1" width="6.85546875" customWidth="1"/>
    <col min="2" max="2" width="15.85546875" customWidth="1"/>
    <col min="3" max="3" width="13.7109375" customWidth="1"/>
    <col min="4" max="4" width="11.140625" customWidth="1"/>
    <col min="5" max="5" width="10" customWidth="1"/>
    <col min="6" max="6" width="11" customWidth="1"/>
    <col min="7" max="7" width="11.140625" customWidth="1"/>
    <col min="8" max="8" width="9.28515625" bestFit="1" customWidth="1"/>
    <col min="9" max="9" width="9.7109375" customWidth="1"/>
    <col min="10" max="10" width="9.28515625" bestFit="1" customWidth="1"/>
    <col min="11" max="12" width="9.7109375" bestFit="1" customWidth="1"/>
    <col min="13" max="13" width="9.28515625" bestFit="1" customWidth="1"/>
    <col min="14" max="14" width="9.5703125" bestFit="1" customWidth="1"/>
    <col min="15" max="15" width="10.85546875" bestFit="1" customWidth="1"/>
    <col min="16" max="16" width="10" customWidth="1"/>
    <col min="17" max="17" width="10.140625" customWidth="1"/>
    <col min="18" max="18" width="10.85546875" bestFit="1" customWidth="1"/>
    <col min="19" max="19" width="10.140625" customWidth="1"/>
    <col min="20" max="20" width="12.7109375" customWidth="1"/>
    <col min="21" max="21" width="10.5703125" customWidth="1"/>
    <col min="22" max="22" width="14.85546875" customWidth="1"/>
  </cols>
  <sheetData>
    <row r="2" spans="1:26" ht="15" x14ac:dyDescent="0.2">
      <c r="T2" s="1161" t="s">
        <v>225</v>
      </c>
      <c r="U2" s="1161"/>
      <c r="V2" s="1161"/>
    </row>
    <row r="4" spans="1:26" ht="18" x14ac:dyDescent="0.25">
      <c r="A4" s="1158" t="s">
        <v>0</v>
      </c>
      <c r="B4" s="1158"/>
      <c r="C4" s="1158"/>
      <c r="D4" s="1158"/>
      <c r="E4" s="1158"/>
      <c r="F4" s="1158"/>
      <c r="G4" s="1158"/>
      <c r="H4" s="1158"/>
      <c r="I4" s="1158"/>
      <c r="J4" s="1158"/>
      <c r="K4" s="1158"/>
      <c r="L4" s="1158"/>
      <c r="M4" s="1158"/>
      <c r="N4" s="1158"/>
      <c r="O4" s="1158"/>
      <c r="P4" s="1158"/>
      <c r="Q4" s="1158"/>
      <c r="R4" s="1158"/>
      <c r="S4" s="1158"/>
      <c r="T4" s="1158"/>
      <c r="U4" s="1158"/>
      <c r="V4" s="1158"/>
    </row>
    <row r="5" spans="1:26" ht="18" x14ac:dyDescent="0.25">
      <c r="A5" s="1154" t="s">
        <v>794</v>
      </c>
      <c r="B5" s="1154"/>
      <c r="C5" s="1154"/>
      <c r="D5" s="1154"/>
      <c r="E5" s="1154"/>
      <c r="F5" s="1154"/>
      <c r="G5" s="1154"/>
      <c r="H5" s="1154"/>
      <c r="I5" s="1154"/>
      <c r="J5" s="1154"/>
      <c r="K5" s="1154"/>
      <c r="L5" s="1154"/>
      <c r="M5" s="1154"/>
      <c r="N5" s="1154"/>
      <c r="O5" s="1154"/>
      <c r="P5" s="1154"/>
      <c r="Q5" s="1154"/>
      <c r="R5" s="1154"/>
      <c r="S5" s="1154"/>
      <c r="T5" s="1154"/>
      <c r="U5" s="1154"/>
      <c r="V5" s="1154"/>
    </row>
    <row r="6" spans="1:26" ht="15.75" x14ac:dyDescent="0.25">
      <c r="D6" s="70"/>
      <c r="E6" s="70"/>
      <c r="F6" s="70"/>
      <c r="G6" s="70"/>
      <c r="H6" s="70"/>
      <c r="I6" s="70"/>
      <c r="J6" s="70"/>
      <c r="K6" s="70"/>
      <c r="L6" s="70"/>
      <c r="M6" s="70"/>
      <c r="N6" s="70"/>
      <c r="O6" s="70"/>
      <c r="P6" s="70"/>
      <c r="Q6" s="70"/>
    </row>
    <row r="7" spans="1:26" ht="20.25" x14ac:dyDescent="0.3">
      <c r="A7" s="1159" t="s">
        <v>256</v>
      </c>
      <c r="B7" s="1159"/>
      <c r="C7" s="1159"/>
      <c r="D7" s="1159"/>
      <c r="E7" s="1159"/>
      <c r="F7" s="1159"/>
      <c r="G7" s="1159"/>
      <c r="H7" s="1159"/>
      <c r="I7" s="1159"/>
      <c r="J7" s="1159"/>
      <c r="K7" s="1159"/>
      <c r="L7" s="1159"/>
      <c r="M7" s="1159"/>
      <c r="N7" s="1159"/>
      <c r="O7" s="1159"/>
      <c r="P7" s="1159"/>
      <c r="Q7" s="1159"/>
      <c r="R7" s="1159"/>
      <c r="S7" s="1159"/>
      <c r="T7" s="1159"/>
      <c r="U7" s="1159"/>
      <c r="V7" s="1159"/>
    </row>
    <row r="8" spans="1:26" ht="15.75" x14ac:dyDescent="0.25">
      <c r="A8" s="36"/>
      <c r="B8" s="30"/>
      <c r="C8" s="30"/>
      <c r="D8" s="30"/>
      <c r="E8" s="30"/>
      <c r="F8" s="30"/>
      <c r="G8" s="30"/>
      <c r="H8" s="30"/>
      <c r="I8" s="30"/>
      <c r="J8" s="30"/>
      <c r="K8" s="30"/>
      <c r="L8" s="30"/>
      <c r="M8" s="30"/>
      <c r="N8" s="30"/>
      <c r="O8" s="30"/>
      <c r="P8" s="24"/>
      <c r="U8" s="24" t="s">
        <v>224</v>
      </c>
      <c r="V8" s="24"/>
    </row>
    <row r="9" spans="1:26" x14ac:dyDescent="0.2">
      <c r="A9" s="1162" t="s">
        <v>463</v>
      </c>
      <c r="B9" s="1162"/>
      <c r="C9" s="1162"/>
      <c r="S9" s="1098" t="s">
        <v>914</v>
      </c>
      <c r="T9" s="1098"/>
      <c r="U9" s="1098"/>
      <c r="V9" s="1098"/>
    </row>
    <row r="10" spans="1:26" ht="28.5" customHeight="1" x14ac:dyDescent="0.2">
      <c r="A10" s="1155" t="s">
        <v>25</v>
      </c>
      <c r="B10" s="961" t="s">
        <v>220</v>
      </c>
      <c r="C10" s="961" t="s">
        <v>231</v>
      </c>
      <c r="D10" s="961" t="s">
        <v>221</v>
      </c>
      <c r="E10" s="959" t="s">
        <v>844</v>
      </c>
      <c r="F10" s="959"/>
      <c r="G10" s="959"/>
      <c r="H10" s="969" t="s">
        <v>843</v>
      </c>
      <c r="I10" s="970"/>
      <c r="J10" s="971"/>
      <c r="K10" s="967" t="s">
        <v>586</v>
      </c>
      <c r="L10" s="1157"/>
      <c r="M10" s="968"/>
      <c r="N10" s="967" t="s">
        <v>172</v>
      </c>
      <c r="O10" s="1157"/>
      <c r="P10" s="968"/>
      <c r="Q10" s="960" t="s">
        <v>916</v>
      </c>
      <c r="R10" s="960"/>
      <c r="S10" s="960"/>
      <c r="T10" s="960" t="s">
        <v>276</v>
      </c>
      <c r="U10" s="960" t="s">
        <v>515</v>
      </c>
      <c r="V10" s="960" t="s">
        <v>516</v>
      </c>
    </row>
    <row r="11" spans="1:26" ht="71.25" customHeight="1" x14ac:dyDescent="0.2">
      <c r="A11" s="1156"/>
      <c r="B11" s="962"/>
      <c r="C11" s="962"/>
      <c r="D11" s="962"/>
      <c r="E11" s="198" t="s">
        <v>222</v>
      </c>
      <c r="F11" s="198" t="s">
        <v>223</v>
      </c>
      <c r="G11" s="198" t="s">
        <v>18</v>
      </c>
      <c r="H11" s="198" t="s">
        <v>222</v>
      </c>
      <c r="I11" s="198" t="s">
        <v>223</v>
      </c>
      <c r="J11" s="198" t="s">
        <v>18</v>
      </c>
      <c r="K11" s="198" t="s">
        <v>222</v>
      </c>
      <c r="L11" s="198" t="s">
        <v>223</v>
      </c>
      <c r="M11" s="198" t="s">
        <v>18</v>
      </c>
      <c r="N11" s="198" t="s">
        <v>222</v>
      </c>
      <c r="O11" s="198" t="s">
        <v>223</v>
      </c>
      <c r="P11" s="198" t="s">
        <v>18</v>
      </c>
      <c r="Q11" s="657" t="s">
        <v>769</v>
      </c>
      <c r="R11" s="657" t="s">
        <v>768</v>
      </c>
      <c r="S11" s="198" t="s">
        <v>240</v>
      </c>
      <c r="T11" s="960"/>
      <c r="U11" s="960"/>
      <c r="V11" s="960"/>
    </row>
    <row r="12" spans="1:26" x14ac:dyDescent="0.2">
      <c r="A12" s="92">
        <v>1</v>
      </c>
      <c r="B12" s="69">
        <v>2</v>
      </c>
      <c r="C12" s="218">
        <v>3</v>
      </c>
      <c r="D12" s="218">
        <v>4</v>
      </c>
      <c r="E12" s="218">
        <v>5</v>
      </c>
      <c r="F12" s="218">
        <v>6</v>
      </c>
      <c r="G12" s="218">
        <v>7</v>
      </c>
      <c r="H12" s="218">
        <v>8</v>
      </c>
      <c r="I12" s="218">
        <v>9</v>
      </c>
      <c r="J12" s="218">
        <v>10</v>
      </c>
      <c r="K12" s="218">
        <v>11</v>
      </c>
      <c r="L12" s="218">
        <v>12</v>
      </c>
      <c r="M12" s="218">
        <v>13</v>
      </c>
      <c r="N12" s="218">
        <v>14</v>
      </c>
      <c r="O12" s="218">
        <v>15</v>
      </c>
      <c r="P12" s="218">
        <v>16</v>
      </c>
      <c r="Q12" s="218">
        <v>17</v>
      </c>
      <c r="R12" s="218">
        <v>18</v>
      </c>
      <c r="S12" s="218">
        <v>19</v>
      </c>
      <c r="T12" s="218">
        <v>20</v>
      </c>
      <c r="U12" s="302">
        <v>21</v>
      </c>
      <c r="V12" s="302">
        <v>22</v>
      </c>
    </row>
    <row r="13" spans="1:26" ht="35.1" customHeight="1" x14ac:dyDescent="0.2">
      <c r="A13" s="194">
        <v>1</v>
      </c>
      <c r="B13" s="194" t="s">
        <v>392</v>
      </c>
      <c r="C13" s="205">
        <v>1063</v>
      </c>
      <c r="D13" s="349">
        <v>876</v>
      </c>
      <c r="E13" s="361">
        <v>95.67</v>
      </c>
      <c r="F13" s="361">
        <v>116.93</v>
      </c>
      <c r="G13" s="361">
        <f>E13+F13</f>
        <v>212.60000000000002</v>
      </c>
      <c r="H13" s="361">
        <v>12.77</v>
      </c>
      <c r="I13" s="361">
        <v>13.42</v>
      </c>
      <c r="J13" s="361">
        <f>H13+I13</f>
        <v>26.189999999999998</v>
      </c>
      <c r="K13" s="361">
        <v>82.9</v>
      </c>
      <c r="L13" s="361">
        <f>121.03-10</f>
        <v>111.03</v>
      </c>
      <c r="M13" s="361">
        <f>K13+L13</f>
        <v>193.93</v>
      </c>
      <c r="N13" s="361">
        <v>78.83</v>
      </c>
      <c r="O13" s="361">
        <v>113.87</v>
      </c>
      <c r="P13" s="361">
        <f>N13+O13</f>
        <v>192.7</v>
      </c>
      <c r="Q13" s="361">
        <f>H13+K13-N13</f>
        <v>16.840000000000003</v>
      </c>
      <c r="R13" s="361">
        <f>I13+L13-O13</f>
        <v>10.579999999999998</v>
      </c>
      <c r="S13" s="361">
        <f>J13+M13-P13</f>
        <v>27.420000000000016</v>
      </c>
      <c r="T13" s="205" t="s">
        <v>660</v>
      </c>
      <c r="U13" s="205">
        <f>D13</f>
        <v>876</v>
      </c>
      <c r="V13" s="205">
        <f>U13</f>
        <v>876</v>
      </c>
      <c r="W13" s="863">
        <v>16.838999999999984</v>
      </c>
      <c r="X13" s="863">
        <v>20.581000000000017</v>
      </c>
      <c r="Y13" s="862">
        <f>Q13-W13</f>
        <v>1.0000000000189857E-3</v>
      </c>
      <c r="Z13" s="862">
        <f>R13-X13</f>
        <v>-10.001000000000019</v>
      </c>
    </row>
    <row r="14" spans="1:26" ht="35.1" customHeight="1" x14ac:dyDescent="0.2">
      <c r="A14" s="194">
        <v>2</v>
      </c>
      <c r="B14" s="194" t="s">
        <v>393</v>
      </c>
      <c r="C14" s="205">
        <v>450</v>
      </c>
      <c r="D14" s="349">
        <v>379</v>
      </c>
      <c r="E14" s="361">
        <v>40.5</v>
      </c>
      <c r="F14" s="361">
        <v>49.5</v>
      </c>
      <c r="G14" s="361">
        <f t="shared" ref="G14:G25" si="0">E14+F14</f>
        <v>90</v>
      </c>
      <c r="H14" s="361">
        <v>4.82</v>
      </c>
      <c r="I14" s="361">
        <v>5.0199999999999996</v>
      </c>
      <c r="J14" s="361">
        <f t="shared" ref="J14:J25" si="1">H14+I14</f>
        <v>9.84</v>
      </c>
      <c r="K14" s="361">
        <v>35.68</v>
      </c>
      <c r="L14" s="361">
        <v>52.06</v>
      </c>
      <c r="M14" s="361">
        <f t="shared" ref="M14:M25" si="2">K14+L14</f>
        <v>87.740000000000009</v>
      </c>
      <c r="N14" s="361">
        <v>34.11</v>
      </c>
      <c r="O14" s="361">
        <v>49.27</v>
      </c>
      <c r="P14" s="361">
        <f t="shared" ref="P14:P25" si="3">N14+O14</f>
        <v>83.38</v>
      </c>
      <c r="Q14" s="361">
        <f t="shared" ref="Q14:Q25" si="4">H14+K14-N14</f>
        <v>6.3900000000000006</v>
      </c>
      <c r="R14" s="361">
        <f t="shared" ref="R14:R25" si="5">I14+L14-O14</f>
        <v>7.8099999999999952</v>
      </c>
      <c r="S14" s="361">
        <f t="shared" ref="S14:S25" si="6">J14+M14-P14</f>
        <v>14.200000000000017</v>
      </c>
      <c r="T14" s="205" t="s">
        <v>660</v>
      </c>
      <c r="U14" s="205">
        <f t="shared" ref="U14:U25" si="7">D14</f>
        <v>379</v>
      </c>
      <c r="V14" s="205">
        <f t="shared" ref="V14:V25" si="8">U14</f>
        <v>379</v>
      </c>
      <c r="W14" s="863">
        <v>6.3899999999999935</v>
      </c>
      <c r="X14" s="863">
        <v>7.8099999999999881</v>
      </c>
      <c r="Y14" s="862">
        <f t="shared" ref="Y14:Y25" si="9">Q14-W14</f>
        <v>7.1054273576010019E-15</v>
      </c>
      <c r="Z14" s="862">
        <f t="shared" ref="Z14:Z25" si="10">R14-X14</f>
        <v>7.1054273576010019E-15</v>
      </c>
    </row>
    <row r="15" spans="1:26" ht="35.1" customHeight="1" x14ac:dyDescent="0.2">
      <c r="A15" s="194">
        <v>3</v>
      </c>
      <c r="B15" s="194" t="s">
        <v>394</v>
      </c>
      <c r="C15" s="205">
        <v>758</v>
      </c>
      <c r="D15" s="349">
        <v>691</v>
      </c>
      <c r="E15" s="361">
        <v>68.22</v>
      </c>
      <c r="F15" s="361">
        <v>83.38</v>
      </c>
      <c r="G15" s="361">
        <f t="shared" si="0"/>
        <v>151.6</v>
      </c>
      <c r="H15" s="361">
        <v>5.18</v>
      </c>
      <c r="I15" s="361">
        <v>4.08</v>
      </c>
      <c r="J15" s="361">
        <f t="shared" si="1"/>
        <v>9.26</v>
      </c>
      <c r="K15" s="361">
        <v>63.05</v>
      </c>
      <c r="L15" s="361">
        <v>93.12</v>
      </c>
      <c r="M15" s="361">
        <f t="shared" si="2"/>
        <v>156.17000000000002</v>
      </c>
      <c r="N15" s="361">
        <v>62.15</v>
      </c>
      <c r="O15" s="361">
        <v>89.78</v>
      </c>
      <c r="P15" s="361">
        <f t="shared" si="3"/>
        <v>151.93</v>
      </c>
      <c r="Q15" s="361">
        <f t="shared" si="4"/>
        <v>6.0799999999999912</v>
      </c>
      <c r="R15" s="361">
        <f t="shared" si="5"/>
        <v>7.4200000000000017</v>
      </c>
      <c r="S15" s="361">
        <f t="shared" si="6"/>
        <v>13.5</v>
      </c>
      <c r="T15" s="205" t="s">
        <v>660</v>
      </c>
      <c r="U15" s="205">
        <f t="shared" si="7"/>
        <v>691</v>
      </c>
      <c r="V15" s="205">
        <f t="shared" si="8"/>
        <v>691</v>
      </c>
      <c r="W15" s="863">
        <v>6.0749999999999886</v>
      </c>
      <c r="X15" s="863">
        <v>7.4249999999999829</v>
      </c>
      <c r="Y15" s="862">
        <f t="shared" si="9"/>
        <v>5.000000000002558E-3</v>
      </c>
      <c r="Z15" s="862">
        <f t="shared" si="10"/>
        <v>-4.9999999999812417E-3</v>
      </c>
    </row>
    <row r="16" spans="1:26" ht="35.1" customHeight="1" x14ac:dyDescent="0.2">
      <c r="A16" s="194">
        <v>4</v>
      </c>
      <c r="B16" s="194" t="s">
        <v>395</v>
      </c>
      <c r="C16" s="205">
        <v>426</v>
      </c>
      <c r="D16" s="349">
        <v>376</v>
      </c>
      <c r="E16" s="361">
        <v>38.340000000000003</v>
      </c>
      <c r="F16" s="361">
        <v>46.86</v>
      </c>
      <c r="G16" s="361">
        <f t="shared" si="0"/>
        <v>85.2</v>
      </c>
      <c r="H16" s="361">
        <v>2.06</v>
      </c>
      <c r="I16" s="361">
        <v>1.95</v>
      </c>
      <c r="J16" s="361">
        <f t="shared" si="1"/>
        <v>4.01</v>
      </c>
      <c r="K16" s="361">
        <v>36.28</v>
      </c>
      <c r="L16" s="361">
        <v>52.43</v>
      </c>
      <c r="M16" s="361">
        <f t="shared" si="2"/>
        <v>88.710000000000008</v>
      </c>
      <c r="N16" s="361">
        <v>33.840000000000003</v>
      </c>
      <c r="O16" s="361">
        <v>48.88</v>
      </c>
      <c r="P16" s="361">
        <f t="shared" si="3"/>
        <v>82.72</v>
      </c>
      <c r="Q16" s="361">
        <f t="shared" si="4"/>
        <v>4.5</v>
      </c>
      <c r="R16" s="361">
        <f t="shared" si="5"/>
        <v>5.5</v>
      </c>
      <c r="S16" s="361">
        <f t="shared" si="6"/>
        <v>10.000000000000014</v>
      </c>
      <c r="T16" s="205" t="s">
        <v>660</v>
      </c>
      <c r="U16" s="205">
        <f t="shared" si="7"/>
        <v>376</v>
      </c>
      <c r="V16" s="205">
        <f t="shared" si="8"/>
        <v>376</v>
      </c>
      <c r="W16" s="863">
        <v>4.5</v>
      </c>
      <c r="X16" s="863">
        <v>5.5000000000000071</v>
      </c>
      <c r="Y16" s="862">
        <f t="shared" si="9"/>
        <v>0</v>
      </c>
      <c r="Z16" s="862">
        <f t="shared" si="10"/>
        <v>-7.1054273576010019E-15</v>
      </c>
    </row>
    <row r="17" spans="1:26" ht="35.1" customHeight="1" x14ac:dyDescent="0.2">
      <c r="A17" s="194">
        <v>5</v>
      </c>
      <c r="B17" s="363" t="s">
        <v>396</v>
      </c>
      <c r="C17" s="205">
        <v>1150</v>
      </c>
      <c r="D17" s="349">
        <v>936</v>
      </c>
      <c r="E17" s="361">
        <v>103.5</v>
      </c>
      <c r="F17" s="361">
        <v>126.5</v>
      </c>
      <c r="G17" s="361">
        <f t="shared" si="0"/>
        <v>230</v>
      </c>
      <c r="H17" s="361">
        <v>17.34</v>
      </c>
      <c r="I17" s="361">
        <v>18.37</v>
      </c>
      <c r="J17" s="361">
        <f t="shared" si="1"/>
        <v>35.71</v>
      </c>
      <c r="K17" s="361">
        <v>86.16</v>
      </c>
      <c r="L17" s="361">
        <f>127.13-10</f>
        <v>117.13</v>
      </c>
      <c r="M17" s="361">
        <f t="shared" si="2"/>
        <v>203.29</v>
      </c>
      <c r="N17" s="361">
        <v>84.19</v>
      </c>
      <c r="O17" s="361">
        <v>121.61</v>
      </c>
      <c r="P17" s="361">
        <f t="shared" si="3"/>
        <v>205.8</v>
      </c>
      <c r="Q17" s="361">
        <f t="shared" si="4"/>
        <v>19.310000000000002</v>
      </c>
      <c r="R17" s="361">
        <f t="shared" si="5"/>
        <v>13.89</v>
      </c>
      <c r="S17" s="361">
        <f t="shared" si="6"/>
        <v>33.199999999999989</v>
      </c>
      <c r="T17" s="205" t="s">
        <v>660</v>
      </c>
      <c r="U17" s="205">
        <f t="shared" si="7"/>
        <v>936</v>
      </c>
      <c r="V17" s="205">
        <f t="shared" si="8"/>
        <v>936</v>
      </c>
      <c r="W17" s="863">
        <v>19.313999999999979</v>
      </c>
      <c r="X17" s="863">
        <v>23.885999999999981</v>
      </c>
      <c r="Y17" s="862">
        <f t="shared" si="9"/>
        <v>-3.9999999999764668E-3</v>
      </c>
      <c r="Z17" s="862">
        <f t="shared" si="10"/>
        <v>-9.9959999999999809</v>
      </c>
    </row>
    <row r="18" spans="1:26" ht="35.1" customHeight="1" x14ac:dyDescent="0.2">
      <c r="A18" s="194">
        <v>6</v>
      </c>
      <c r="B18" s="194" t="s">
        <v>397</v>
      </c>
      <c r="C18" s="205">
        <v>923</v>
      </c>
      <c r="D18" s="349">
        <v>801</v>
      </c>
      <c r="E18" s="361">
        <v>83.07</v>
      </c>
      <c r="F18" s="361">
        <v>101.53</v>
      </c>
      <c r="G18" s="361">
        <f t="shared" si="0"/>
        <v>184.6</v>
      </c>
      <c r="H18" s="361">
        <v>12.29</v>
      </c>
      <c r="I18" s="361">
        <v>12.34</v>
      </c>
      <c r="J18" s="361">
        <f t="shared" si="1"/>
        <v>24.63</v>
      </c>
      <c r="K18" s="361">
        <v>70.78</v>
      </c>
      <c r="L18" s="361">
        <f>106.02-10</f>
        <v>96.02</v>
      </c>
      <c r="M18" s="361">
        <f t="shared" si="2"/>
        <v>166.8</v>
      </c>
      <c r="N18" s="361">
        <v>71.959999999999994</v>
      </c>
      <c r="O18" s="361">
        <v>103.98</v>
      </c>
      <c r="P18" s="361">
        <f t="shared" si="3"/>
        <v>175.94</v>
      </c>
      <c r="Q18" s="361">
        <f t="shared" si="4"/>
        <v>11.11</v>
      </c>
      <c r="R18" s="361">
        <f t="shared" si="5"/>
        <v>4.3799999999999955</v>
      </c>
      <c r="S18" s="361">
        <f t="shared" si="6"/>
        <v>15.490000000000009</v>
      </c>
      <c r="T18" s="205" t="s">
        <v>660</v>
      </c>
      <c r="U18" s="205">
        <f t="shared" si="7"/>
        <v>801</v>
      </c>
      <c r="V18" s="205">
        <f t="shared" si="8"/>
        <v>801</v>
      </c>
      <c r="W18" s="863">
        <v>11.10599999999998</v>
      </c>
      <c r="X18" s="863">
        <v>14.373999999999995</v>
      </c>
      <c r="Y18" s="862">
        <f t="shared" si="9"/>
        <v>4.0000000000190994E-3</v>
      </c>
      <c r="Z18" s="862">
        <f t="shared" si="10"/>
        <v>-9.9939999999999998</v>
      </c>
    </row>
    <row r="19" spans="1:26" ht="35.1" customHeight="1" x14ac:dyDescent="0.2">
      <c r="A19" s="194">
        <v>7</v>
      </c>
      <c r="B19" s="363" t="s">
        <v>398</v>
      </c>
      <c r="C19" s="205">
        <v>1048</v>
      </c>
      <c r="D19" s="349">
        <v>846</v>
      </c>
      <c r="E19" s="361">
        <v>94.32</v>
      </c>
      <c r="F19" s="361">
        <v>115.28</v>
      </c>
      <c r="G19" s="361">
        <f t="shared" si="0"/>
        <v>209.6</v>
      </c>
      <c r="H19" s="361">
        <v>16.37</v>
      </c>
      <c r="I19" s="361">
        <v>18.02</v>
      </c>
      <c r="J19" s="361">
        <f t="shared" si="1"/>
        <v>34.39</v>
      </c>
      <c r="K19" s="361">
        <v>77.95</v>
      </c>
      <c r="L19" s="361">
        <v>114.18</v>
      </c>
      <c r="M19" s="361">
        <f t="shared" si="2"/>
        <v>192.13</v>
      </c>
      <c r="N19" s="361">
        <v>75.97</v>
      </c>
      <c r="O19" s="361">
        <v>109.77</v>
      </c>
      <c r="P19" s="361">
        <f t="shared" si="3"/>
        <v>185.74</v>
      </c>
      <c r="Q19" s="361">
        <f t="shared" si="4"/>
        <v>18.350000000000009</v>
      </c>
      <c r="R19" s="361">
        <f t="shared" si="5"/>
        <v>22.430000000000021</v>
      </c>
      <c r="S19" s="361">
        <f t="shared" si="6"/>
        <v>40.779999999999973</v>
      </c>
      <c r="T19" s="205" t="s">
        <v>660</v>
      </c>
      <c r="U19" s="205">
        <f t="shared" si="7"/>
        <v>846</v>
      </c>
      <c r="V19" s="205">
        <f t="shared" si="8"/>
        <v>846</v>
      </c>
      <c r="W19" s="863">
        <v>18.350999999999985</v>
      </c>
      <c r="X19" s="863">
        <v>22.428999999999974</v>
      </c>
      <c r="Y19" s="862">
        <f t="shared" si="9"/>
        <v>-9.9999999997635314E-4</v>
      </c>
      <c r="Z19" s="862">
        <f t="shared" si="10"/>
        <v>1.0000000000474074E-3</v>
      </c>
    </row>
    <row r="20" spans="1:26" ht="35.1" customHeight="1" x14ac:dyDescent="0.2">
      <c r="A20" s="194">
        <v>8</v>
      </c>
      <c r="B20" s="194" t="s">
        <v>399</v>
      </c>
      <c r="C20" s="205">
        <v>1232</v>
      </c>
      <c r="D20" s="349">
        <v>1064</v>
      </c>
      <c r="E20" s="361">
        <v>110.88</v>
      </c>
      <c r="F20" s="361">
        <v>135.52000000000001</v>
      </c>
      <c r="G20" s="361">
        <f t="shared" si="0"/>
        <v>246.4</v>
      </c>
      <c r="H20" s="361">
        <v>12.05</v>
      </c>
      <c r="I20" s="361">
        <v>10.35</v>
      </c>
      <c r="J20" s="361">
        <f t="shared" si="1"/>
        <v>22.4</v>
      </c>
      <c r="K20" s="361">
        <v>98.82</v>
      </c>
      <c r="L20" s="361">
        <f>146.45-15.57</f>
        <v>130.88</v>
      </c>
      <c r="M20" s="361">
        <f t="shared" si="2"/>
        <v>229.7</v>
      </c>
      <c r="N20" s="361">
        <v>95.53</v>
      </c>
      <c r="O20" s="361">
        <v>138.02000000000001</v>
      </c>
      <c r="P20" s="361">
        <f t="shared" si="3"/>
        <v>233.55</v>
      </c>
      <c r="Q20" s="361">
        <f>H20+K20-N20</f>
        <v>15.339999999999989</v>
      </c>
      <c r="R20" s="361">
        <f t="shared" si="5"/>
        <v>3.2099999999999795</v>
      </c>
      <c r="S20" s="361">
        <f t="shared" si="6"/>
        <v>18.549999999999983</v>
      </c>
      <c r="T20" s="205" t="s">
        <v>660</v>
      </c>
      <c r="U20" s="205">
        <f t="shared" si="7"/>
        <v>1064</v>
      </c>
      <c r="V20" s="205">
        <f t="shared" si="8"/>
        <v>1064</v>
      </c>
      <c r="W20" s="863">
        <v>15.353999999999985</v>
      </c>
      <c r="X20" s="863">
        <v>18.765999999999991</v>
      </c>
      <c r="Y20" s="862">
        <f t="shared" si="9"/>
        <v>-1.3999999999995794E-2</v>
      </c>
      <c r="Z20" s="862">
        <f t="shared" si="10"/>
        <v>-15.556000000000012</v>
      </c>
    </row>
    <row r="21" spans="1:26" ht="35.1" customHeight="1" x14ac:dyDescent="0.2">
      <c r="A21" s="194">
        <v>9</v>
      </c>
      <c r="B21" s="194" t="s">
        <v>400</v>
      </c>
      <c r="C21" s="205">
        <v>852</v>
      </c>
      <c r="D21" s="349">
        <v>702</v>
      </c>
      <c r="E21" s="361">
        <v>76.680000000000007</v>
      </c>
      <c r="F21" s="361">
        <v>93.72</v>
      </c>
      <c r="G21" s="361">
        <f t="shared" si="0"/>
        <v>170.4</v>
      </c>
      <c r="H21" s="361">
        <v>9.2799999999999994</v>
      </c>
      <c r="I21" s="361">
        <v>10.08</v>
      </c>
      <c r="J21" s="361">
        <f t="shared" si="1"/>
        <v>19.36</v>
      </c>
      <c r="K21" s="361">
        <v>67.400000000000006</v>
      </c>
      <c r="L21" s="361">
        <f>98.03-10</f>
        <v>88.03</v>
      </c>
      <c r="M21" s="361">
        <f t="shared" si="2"/>
        <v>155.43</v>
      </c>
      <c r="N21" s="361">
        <v>63.14</v>
      </c>
      <c r="O21" s="361">
        <v>91.22</v>
      </c>
      <c r="P21" s="361">
        <f t="shared" si="3"/>
        <v>154.36000000000001</v>
      </c>
      <c r="Q21" s="361">
        <f t="shared" si="4"/>
        <v>13.540000000000006</v>
      </c>
      <c r="R21" s="361">
        <f t="shared" si="5"/>
        <v>6.8900000000000006</v>
      </c>
      <c r="S21" s="361">
        <f t="shared" si="6"/>
        <v>20.430000000000007</v>
      </c>
      <c r="T21" s="205" t="s">
        <v>660</v>
      </c>
      <c r="U21" s="205">
        <f t="shared" si="7"/>
        <v>702</v>
      </c>
      <c r="V21" s="205">
        <f t="shared" si="8"/>
        <v>702</v>
      </c>
      <c r="W21" s="863">
        <v>13.536000000000001</v>
      </c>
      <c r="X21" s="863">
        <v>16.903999999999996</v>
      </c>
      <c r="Y21" s="862">
        <f t="shared" si="9"/>
        <v>4.0000000000048885E-3</v>
      </c>
      <c r="Z21" s="862">
        <f t="shared" si="10"/>
        <v>-10.013999999999996</v>
      </c>
    </row>
    <row r="22" spans="1:26" ht="35.1" customHeight="1" x14ac:dyDescent="0.2">
      <c r="A22" s="194">
        <v>10</v>
      </c>
      <c r="B22" s="434" t="s">
        <v>401</v>
      </c>
      <c r="C22" s="349">
        <v>488</v>
      </c>
      <c r="D22" s="349">
        <v>433</v>
      </c>
      <c r="E22" s="435">
        <v>43.92</v>
      </c>
      <c r="F22" s="361">
        <v>53.68</v>
      </c>
      <c r="G22" s="435">
        <f t="shared" si="0"/>
        <v>97.6</v>
      </c>
      <c r="H22" s="435">
        <v>5.94</v>
      </c>
      <c r="I22" s="361">
        <v>5.86</v>
      </c>
      <c r="J22" s="435">
        <f t="shared" si="1"/>
        <v>11.8</v>
      </c>
      <c r="K22" s="435">
        <v>37.979999999999997</v>
      </c>
      <c r="L22" s="435">
        <f>56.48-5</f>
        <v>51.48</v>
      </c>
      <c r="M22" s="435">
        <f t="shared" si="2"/>
        <v>89.46</v>
      </c>
      <c r="N22" s="435">
        <v>38.93</v>
      </c>
      <c r="O22" s="435">
        <v>56.25</v>
      </c>
      <c r="P22" s="435">
        <f t="shared" si="3"/>
        <v>95.18</v>
      </c>
      <c r="Q22" s="435">
        <f t="shared" si="4"/>
        <v>4.9899999999999949</v>
      </c>
      <c r="R22" s="435">
        <f t="shared" si="5"/>
        <v>1.0899999999999963</v>
      </c>
      <c r="S22" s="435">
        <f t="shared" si="6"/>
        <v>6.0799999999999841</v>
      </c>
      <c r="T22" s="205" t="s">
        <v>660</v>
      </c>
      <c r="U22" s="349">
        <f t="shared" si="7"/>
        <v>433</v>
      </c>
      <c r="V22" s="349">
        <f t="shared" si="8"/>
        <v>433</v>
      </c>
      <c r="W22" s="863">
        <v>4.9859999999999971</v>
      </c>
      <c r="X22" s="863">
        <v>6.0940000000000012</v>
      </c>
      <c r="Y22" s="862">
        <f t="shared" si="9"/>
        <v>3.9999999999977831E-3</v>
      </c>
      <c r="Z22" s="862">
        <f t="shared" si="10"/>
        <v>-5.0040000000000049</v>
      </c>
    </row>
    <row r="23" spans="1:26" ht="35.1" customHeight="1" x14ac:dyDescent="0.2">
      <c r="A23" s="194">
        <v>11</v>
      </c>
      <c r="B23" s="194" t="s">
        <v>402</v>
      </c>
      <c r="C23" s="205">
        <v>1197</v>
      </c>
      <c r="D23" s="349">
        <v>1008</v>
      </c>
      <c r="E23" s="361">
        <v>107.73</v>
      </c>
      <c r="F23" s="435">
        <v>131.66999999999999</v>
      </c>
      <c r="G23" s="361">
        <f t="shared" si="0"/>
        <v>239.39999999999998</v>
      </c>
      <c r="H23" s="361">
        <v>15.44</v>
      </c>
      <c r="I23" s="435">
        <v>15.28</v>
      </c>
      <c r="J23" s="361">
        <f t="shared" si="1"/>
        <v>30.72</v>
      </c>
      <c r="K23" s="361">
        <v>92.29</v>
      </c>
      <c r="L23" s="361">
        <f>136.55-10</f>
        <v>126.55000000000001</v>
      </c>
      <c r="M23" s="361">
        <f t="shared" si="2"/>
        <v>218.84000000000003</v>
      </c>
      <c r="N23" s="361">
        <v>90.59</v>
      </c>
      <c r="O23" s="361">
        <v>130.88999999999999</v>
      </c>
      <c r="P23" s="361">
        <f t="shared" si="3"/>
        <v>221.48</v>
      </c>
      <c r="Q23" s="361">
        <f t="shared" si="4"/>
        <v>17.14</v>
      </c>
      <c r="R23" s="361">
        <f t="shared" si="5"/>
        <v>10.940000000000026</v>
      </c>
      <c r="S23" s="361">
        <f t="shared" si="6"/>
        <v>28.080000000000041</v>
      </c>
      <c r="T23" s="205" t="s">
        <v>660</v>
      </c>
      <c r="U23" s="205">
        <f t="shared" si="7"/>
        <v>1008</v>
      </c>
      <c r="V23" s="205">
        <f t="shared" si="8"/>
        <v>1008</v>
      </c>
      <c r="W23" s="863">
        <v>17.13600000000001</v>
      </c>
      <c r="X23" s="863">
        <v>20.94399999999996</v>
      </c>
      <c r="Y23" s="862">
        <f t="shared" si="9"/>
        <v>3.9999999999906777E-3</v>
      </c>
      <c r="Z23" s="862">
        <f t="shared" si="10"/>
        <v>-10.003999999999934</v>
      </c>
    </row>
    <row r="24" spans="1:26" ht="35.1" customHeight="1" x14ac:dyDescent="0.2">
      <c r="A24" s="194">
        <v>12</v>
      </c>
      <c r="B24" s="194" t="s">
        <v>403</v>
      </c>
      <c r="C24" s="205">
        <v>1162</v>
      </c>
      <c r="D24" s="349">
        <v>982</v>
      </c>
      <c r="E24" s="361">
        <v>104.58</v>
      </c>
      <c r="F24" s="361">
        <v>127.82</v>
      </c>
      <c r="G24" s="361">
        <f t="shared" si="0"/>
        <v>232.39999999999998</v>
      </c>
      <c r="H24" s="361">
        <v>8.51</v>
      </c>
      <c r="I24" s="361">
        <v>6.64</v>
      </c>
      <c r="J24" s="361">
        <f t="shared" si="1"/>
        <v>15.149999999999999</v>
      </c>
      <c r="K24" s="361">
        <v>96.07</v>
      </c>
      <c r="L24" s="361">
        <f>141.88-10</f>
        <v>131.88</v>
      </c>
      <c r="M24" s="361">
        <f t="shared" si="2"/>
        <v>227.95</v>
      </c>
      <c r="N24" s="361">
        <v>87.12</v>
      </c>
      <c r="O24" s="361">
        <v>126.12</v>
      </c>
      <c r="P24" s="361">
        <f t="shared" si="3"/>
        <v>213.24</v>
      </c>
      <c r="Q24" s="361">
        <f t="shared" si="4"/>
        <v>17.459999999999994</v>
      </c>
      <c r="R24" s="361">
        <f t="shared" si="5"/>
        <v>12.399999999999977</v>
      </c>
      <c r="S24" s="361">
        <f t="shared" si="6"/>
        <v>29.859999999999985</v>
      </c>
      <c r="T24" s="205" t="s">
        <v>660</v>
      </c>
      <c r="U24" s="205">
        <f t="shared" si="7"/>
        <v>982</v>
      </c>
      <c r="V24" s="205">
        <f t="shared" si="8"/>
        <v>982</v>
      </c>
      <c r="W24" s="863">
        <v>17.459999999999994</v>
      </c>
      <c r="X24" s="863">
        <v>22.399999999999977</v>
      </c>
      <c r="Y24" s="862">
        <f t="shared" si="9"/>
        <v>0</v>
      </c>
      <c r="Z24" s="862">
        <f t="shared" si="10"/>
        <v>-10</v>
      </c>
    </row>
    <row r="25" spans="1:26" ht="35.1" customHeight="1" x14ac:dyDescent="0.2">
      <c r="A25" s="194">
        <v>13</v>
      </c>
      <c r="B25" s="194" t="s">
        <v>404</v>
      </c>
      <c r="C25" s="205">
        <v>679</v>
      </c>
      <c r="D25" s="349">
        <v>520</v>
      </c>
      <c r="E25" s="361">
        <v>61.11</v>
      </c>
      <c r="F25" s="361">
        <v>74.69</v>
      </c>
      <c r="G25" s="361">
        <f t="shared" si="0"/>
        <v>135.80000000000001</v>
      </c>
      <c r="H25" s="361">
        <v>12.19</v>
      </c>
      <c r="I25" s="361">
        <v>13.5</v>
      </c>
      <c r="J25" s="361">
        <f t="shared" si="1"/>
        <v>25.689999999999998</v>
      </c>
      <c r="K25" s="361">
        <v>48.92</v>
      </c>
      <c r="L25" s="361">
        <f>71.59-5</f>
        <v>66.59</v>
      </c>
      <c r="M25" s="361">
        <f t="shared" si="2"/>
        <v>115.51</v>
      </c>
      <c r="N25" s="361">
        <v>46.79</v>
      </c>
      <c r="O25" s="361">
        <v>67.59</v>
      </c>
      <c r="P25" s="361">
        <f t="shared" si="3"/>
        <v>114.38</v>
      </c>
      <c r="Q25" s="361">
        <f t="shared" si="4"/>
        <v>14.32</v>
      </c>
      <c r="R25" s="361">
        <f t="shared" si="5"/>
        <v>12.5</v>
      </c>
      <c r="S25" s="361">
        <f t="shared" si="6"/>
        <v>26.819999999999993</v>
      </c>
      <c r="T25" s="205" t="s">
        <v>660</v>
      </c>
      <c r="U25" s="205">
        <f t="shared" si="7"/>
        <v>520</v>
      </c>
      <c r="V25" s="205">
        <f t="shared" si="8"/>
        <v>520</v>
      </c>
      <c r="W25" s="863">
        <v>14.318999999999988</v>
      </c>
      <c r="X25" s="863">
        <v>17.501000000000005</v>
      </c>
      <c r="Y25" s="862">
        <f t="shared" si="9"/>
        <v>1.0000000000118803E-3</v>
      </c>
      <c r="Z25" s="862">
        <f t="shared" si="10"/>
        <v>-5.0010000000000048</v>
      </c>
    </row>
    <row r="26" spans="1:26" s="11" customFormat="1" ht="35.1" customHeight="1" x14ac:dyDescent="0.2">
      <c r="A26" s="1093" t="s">
        <v>18</v>
      </c>
      <c r="B26" s="1084"/>
      <c r="C26" s="197">
        <f t="shared" ref="C26:S26" si="11">SUM(C13:C25)</f>
        <v>11428</v>
      </c>
      <c r="D26" s="197">
        <f t="shared" si="11"/>
        <v>9614</v>
      </c>
      <c r="E26" s="197">
        <f t="shared" si="11"/>
        <v>1028.52</v>
      </c>
      <c r="F26" s="775">
        <f t="shared" si="11"/>
        <v>1257.08</v>
      </c>
      <c r="G26" s="775">
        <f t="shared" si="11"/>
        <v>2285.6000000000004</v>
      </c>
      <c r="H26" s="775">
        <f t="shared" si="11"/>
        <v>134.24</v>
      </c>
      <c r="I26" s="775">
        <f t="shared" si="11"/>
        <v>134.90999999999997</v>
      </c>
      <c r="J26" s="775">
        <f t="shared" si="11"/>
        <v>269.14999999999998</v>
      </c>
      <c r="K26" s="775">
        <f t="shared" si="11"/>
        <v>894.27999999999986</v>
      </c>
      <c r="L26" s="775">
        <f t="shared" si="11"/>
        <v>1231.3799999999999</v>
      </c>
      <c r="M26" s="845">
        <f t="shared" si="11"/>
        <v>2125.6600000000003</v>
      </c>
      <c r="N26" s="775">
        <f t="shared" si="11"/>
        <v>863.14999999999986</v>
      </c>
      <c r="O26" s="775">
        <f t="shared" si="11"/>
        <v>1247.2499999999998</v>
      </c>
      <c r="P26" s="775">
        <f t="shared" si="11"/>
        <v>2110.4</v>
      </c>
      <c r="Q26" s="845">
        <f t="shared" si="11"/>
        <v>165.36999999999995</v>
      </c>
      <c r="R26" s="845">
        <f t="shared" si="11"/>
        <v>119.03999999999999</v>
      </c>
      <c r="S26" s="845">
        <f t="shared" si="11"/>
        <v>284.41000000000003</v>
      </c>
      <c r="T26" s="197"/>
      <c r="U26" s="197">
        <f>SUM(U13:U25)</f>
        <v>9614</v>
      </c>
      <c r="V26" s="197">
        <f>SUM(V13:V25)</f>
        <v>9614</v>
      </c>
      <c r="W26" s="864">
        <f>SUM(W13:W25)</f>
        <v>165.3659999999999</v>
      </c>
      <c r="X26" s="864">
        <f>SUM(X13:X25)</f>
        <v>204.61399999999986</v>
      </c>
      <c r="Y26" s="862">
        <f t="shared" ref="Y26" si="12">Q26-W26</f>
        <v>4.0000000000475211E-3</v>
      </c>
      <c r="Z26" s="862">
        <f t="shared" ref="Z26" si="13">R26-X26</f>
        <v>-85.57399999999987</v>
      </c>
    </row>
    <row r="27" spans="1:26" ht="20.25" customHeight="1" x14ac:dyDescent="0.2">
      <c r="E27" s="861">
        <v>1028.52</v>
      </c>
      <c r="F27" s="861">
        <v>1257.08</v>
      </c>
      <c r="G27" s="861">
        <v>2285.6000000000004</v>
      </c>
      <c r="H27" s="865">
        <v>134.24299999999982</v>
      </c>
      <c r="I27" s="865">
        <v>134.91000000000054</v>
      </c>
      <c r="J27" s="865">
        <v>269.82000000000062</v>
      </c>
      <c r="K27" s="865">
        <v>894.27700000000016</v>
      </c>
      <c r="L27" s="865">
        <v>1316.9499999999991</v>
      </c>
      <c r="M27" s="865">
        <v>2016.4469999999992</v>
      </c>
      <c r="N27" s="866">
        <v>863.154</v>
      </c>
      <c r="O27" s="867">
        <v>1247.2460000000001</v>
      </c>
      <c r="P27" s="867">
        <v>2110.4</v>
      </c>
      <c r="Q27" s="866">
        <v>165.36599999999999</v>
      </c>
      <c r="R27" s="866">
        <v>204.61399999999958</v>
      </c>
      <c r="S27" s="866">
        <v>369.97999999999956</v>
      </c>
    </row>
    <row r="29" spans="1:26" x14ac:dyDescent="0.2">
      <c r="A29" s="20"/>
    </row>
    <row r="30" spans="1:26" x14ac:dyDescent="0.2">
      <c r="A30" s="11"/>
    </row>
    <row r="31" spans="1:26" ht="15.75" x14ac:dyDescent="0.25">
      <c r="A31" s="11"/>
      <c r="B31" s="10"/>
      <c r="C31" s="10"/>
      <c r="D31" s="10"/>
      <c r="E31" s="10"/>
      <c r="F31" s="10"/>
      <c r="G31" s="10"/>
      <c r="H31" s="10"/>
      <c r="I31" s="10"/>
      <c r="J31" s="10"/>
      <c r="K31" s="10"/>
      <c r="L31" s="10"/>
      <c r="M31" s="10"/>
      <c r="N31" s="48"/>
      <c r="O31" s="48"/>
      <c r="P31" s="48"/>
      <c r="Q31" s="48"/>
      <c r="R31" s="48"/>
      <c r="S31" s="48"/>
      <c r="T31" s="48"/>
      <c r="U31" s="1160" t="s">
        <v>12</v>
      </c>
      <c r="V31" s="1160"/>
    </row>
    <row r="32" spans="1:26" ht="15.75" x14ac:dyDescent="0.2">
      <c r="A32" s="1160" t="s">
        <v>13</v>
      </c>
      <c r="B32" s="1160"/>
      <c r="C32" s="1160"/>
      <c r="D32" s="1160"/>
      <c r="E32" s="1160"/>
      <c r="F32" s="1160"/>
      <c r="G32" s="1160"/>
      <c r="H32" s="1160"/>
      <c r="I32" s="1160"/>
      <c r="J32" s="1160"/>
      <c r="K32" s="1160"/>
      <c r="L32" s="1160"/>
      <c r="M32" s="1160"/>
      <c r="N32" s="1160"/>
      <c r="O32" s="1160"/>
      <c r="P32" s="1160"/>
      <c r="Q32" s="1160"/>
      <c r="R32" s="1160"/>
      <c r="S32" s="1160"/>
      <c r="T32" s="1160"/>
      <c r="U32" s="1160"/>
      <c r="V32" s="1160"/>
    </row>
    <row r="33" spans="1:22" ht="15.75" x14ac:dyDescent="0.2">
      <c r="A33" s="1160" t="s">
        <v>19</v>
      </c>
      <c r="B33" s="1160"/>
      <c r="C33" s="1160"/>
      <c r="D33" s="1160"/>
      <c r="E33" s="1160"/>
      <c r="F33" s="1160"/>
      <c r="G33" s="1160"/>
      <c r="H33" s="1160"/>
      <c r="I33" s="1160"/>
      <c r="J33" s="1160"/>
      <c r="K33" s="1160"/>
      <c r="L33" s="1160"/>
      <c r="M33" s="1160"/>
      <c r="N33" s="1160"/>
      <c r="O33" s="1160"/>
      <c r="P33" s="1160"/>
      <c r="Q33" s="1160"/>
      <c r="R33" s="1160"/>
      <c r="S33" s="1160"/>
      <c r="T33" s="1160"/>
      <c r="U33" s="1160"/>
      <c r="V33" s="1160"/>
    </row>
    <row r="34" spans="1:22" ht="15.75" x14ac:dyDescent="0.25">
      <c r="A34" s="10" t="s">
        <v>11</v>
      </c>
      <c r="B34" s="48"/>
      <c r="C34" s="48"/>
      <c r="D34" s="48"/>
      <c r="E34" s="48"/>
      <c r="F34" s="48"/>
      <c r="G34" s="48"/>
      <c r="H34" s="48"/>
      <c r="I34" s="48"/>
      <c r="J34" s="48"/>
      <c r="K34" s="48"/>
      <c r="L34" s="48"/>
      <c r="M34" s="48"/>
      <c r="N34" s="48"/>
      <c r="O34" s="48"/>
      <c r="P34" s="48"/>
      <c r="Q34" s="48"/>
      <c r="R34" s="48"/>
      <c r="S34" s="48"/>
      <c r="T34" s="70" t="s">
        <v>85</v>
      </c>
      <c r="U34" s="48"/>
      <c r="V34" s="48"/>
    </row>
  </sheetData>
  <mergeCells count="22">
    <mergeCell ref="U31:V31"/>
    <mergeCell ref="A32:V32"/>
    <mergeCell ref="A33:V33"/>
    <mergeCell ref="S9:V9"/>
    <mergeCell ref="A26:B26"/>
    <mergeCell ref="A9:C9"/>
    <mergeCell ref="V10:V11"/>
    <mergeCell ref="U10:U11"/>
    <mergeCell ref="K10:M10"/>
    <mergeCell ref="N10:P10"/>
    <mergeCell ref="A10:A11"/>
    <mergeCell ref="H10:J10"/>
    <mergeCell ref="Q10:S10"/>
    <mergeCell ref="T10:T11"/>
    <mergeCell ref="T2:V2"/>
    <mergeCell ref="D10:D11"/>
    <mergeCell ref="E10:G10"/>
    <mergeCell ref="A4:V4"/>
    <mergeCell ref="A5:V5"/>
    <mergeCell ref="A7:V7"/>
    <mergeCell ref="C10:C11"/>
    <mergeCell ref="B10:B11"/>
  </mergeCells>
  <printOptions horizontalCentered="1"/>
  <pageMargins left="0.3" right="0.32" top="0.23622047244094491" bottom="0" header="0.31496062992125984" footer="0.31496062992125984"/>
  <pageSetup paperSize="9" scale="6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8"/>
  <sheetViews>
    <sheetView view="pageBreakPreview" topLeftCell="A5" zoomScale="110" zoomScaleSheetLayoutView="110" workbookViewId="0">
      <selection activeCell="C22" sqref="C22"/>
    </sheetView>
  </sheetViews>
  <sheetFormatPr defaultRowHeight="12.75" x14ac:dyDescent="0.2"/>
  <cols>
    <col min="1" max="1" width="6.42578125" style="915" customWidth="1"/>
    <col min="2" max="2" width="18.140625" style="915" customWidth="1"/>
    <col min="3" max="3" width="15.42578125" style="915" customWidth="1"/>
    <col min="4" max="4" width="16" style="915" customWidth="1"/>
    <col min="5" max="5" width="17" style="915" customWidth="1"/>
    <col min="6" max="6" width="17.5703125" style="915" customWidth="1"/>
    <col min="7" max="7" width="17.28515625" style="915" customWidth="1"/>
    <col min="8" max="8" width="16.7109375" style="915" customWidth="1"/>
    <col min="9" max="16384" width="9.140625" style="915"/>
  </cols>
  <sheetData>
    <row r="1" spans="1:8" ht="15" x14ac:dyDescent="0.2">
      <c r="H1" s="913" t="s">
        <v>68</v>
      </c>
    </row>
    <row r="2" spans="1:8" ht="15" x14ac:dyDescent="0.2">
      <c r="A2" s="1080" t="s">
        <v>0</v>
      </c>
      <c r="B2" s="1080"/>
      <c r="C2" s="1080"/>
      <c r="D2" s="1080"/>
      <c r="E2" s="1080"/>
      <c r="F2" s="1080"/>
      <c r="G2" s="1080"/>
      <c r="H2" s="1080"/>
    </row>
    <row r="3" spans="1:8" ht="15.75" x14ac:dyDescent="0.25">
      <c r="A3" s="1056" t="s">
        <v>794</v>
      </c>
      <c r="B3" s="1056"/>
      <c r="C3" s="1056"/>
      <c r="D3" s="1056"/>
      <c r="E3" s="1056"/>
      <c r="F3" s="1056"/>
      <c r="G3" s="1056"/>
      <c r="H3" s="1056"/>
    </row>
    <row r="4" spans="1:8" ht="18" x14ac:dyDescent="0.25">
      <c r="A4" s="1085" t="s">
        <v>846</v>
      </c>
      <c r="B4" s="1085"/>
      <c r="C4" s="1085"/>
      <c r="D4" s="1085"/>
      <c r="E4" s="1085"/>
      <c r="F4" s="1085"/>
      <c r="G4" s="1085"/>
      <c r="H4" s="1085"/>
    </row>
    <row r="5" spans="1:8" x14ac:dyDescent="0.2">
      <c r="A5" s="911"/>
      <c r="B5" s="911"/>
      <c r="C5" s="911"/>
      <c r="D5" s="911"/>
      <c r="E5" s="911"/>
      <c r="F5" s="911"/>
      <c r="G5" s="911"/>
      <c r="H5" s="914" t="s">
        <v>24</v>
      </c>
    </row>
    <row r="6" spans="1:8" x14ac:dyDescent="0.2">
      <c r="A6" s="1163" t="s">
        <v>463</v>
      </c>
      <c r="B6" s="1163"/>
      <c r="C6" s="1163"/>
      <c r="D6" s="1164" t="s">
        <v>914</v>
      </c>
      <c r="E6" s="1164"/>
      <c r="F6" s="1164"/>
      <c r="G6" s="1164"/>
      <c r="H6" s="1164"/>
    </row>
    <row r="7" spans="1:8" ht="51" x14ac:dyDescent="0.2">
      <c r="A7" s="909" t="s">
        <v>2</v>
      </c>
      <c r="B7" s="909" t="s">
        <v>3</v>
      </c>
      <c r="C7" s="906" t="s">
        <v>845</v>
      </c>
      <c r="D7" s="906" t="s">
        <v>847</v>
      </c>
      <c r="E7" s="906" t="s">
        <v>120</v>
      </c>
      <c r="F7" s="906" t="s">
        <v>517</v>
      </c>
      <c r="G7" s="906" t="s">
        <v>172</v>
      </c>
      <c r="H7" s="254" t="s">
        <v>1005</v>
      </c>
    </row>
    <row r="8" spans="1:8" x14ac:dyDescent="0.2">
      <c r="A8" s="255">
        <v>1</v>
      </c>
      <c r="B8" s="252">
        <v>2</v>
      </c>
      <c r="C8" s="255">
        <v>3</v>
      </c>
      <c r="D8" s="252">
        <v>4</v>
      </c>
      <c r="E8" s="255">
        <v>5</v>
      </c>
      <c r="F8" s="255">
        <v>6</v>
      </c>
      <c r="G8" s="252">
        <v>7</v>
      </c>
      <c r="H8" s="255">
        <v>8</v>
      </c>
    </row>
    <row r="9" spans="1:8" ht="15" x14ac:dyDescent="0.2">
      <c r="A9" s="905">
        <v>1</v>
      </c>
      <c r="B9" s="225" t="s">
        <v>392</v>
      </c>
      <c r="C9" s="203">
        <v>32.207326799999997</v>
      </c>
      <c r="D9" s="203">
        <v>0</v>
      </c>
      <c r="E9" s="203">
        <v>34.11204675940899</v>
      </c>
      <c r="F9" s="203">
        <v>2252.9</v>
      </c>
      <c r="G9" s="203">
        <v>28.832460879999999</v>
      </c>
      <c r="H9" s="203">
        <f>D9+E9-G9</f>
        <v>5.2795858794089909</v>
      </c>
    </row>
    <row r="10" spans="1:8" ht="15" x14ac:dyDescent="0.2">
      <c r="A10" s="905">
        <v>2</v>
      </c>
      <c r="B10" s="225" t="s">
        <v>393</v>
      </c>
      <c r="C10" s="203">
        <v>15.007605175384615</v>
      </c>
      <c r="D10" s="203">
        <v>0</v>
      </c>
      <c r="E10" s="203">
        <v>13.371028530739101</v>
      </c>
      <c r="F10" s="203">
        <v>3726.1</v>
      </c>
      <c r="G10" s="203">
        <v>22.221339000000004</v>
      </c>
      <c r="H10" s="203">
        <f t="shared" ref="H10:H21" si="0">D10+E10-G10</f>
        <v>-8.8503104692609025</v>
      </c>
    </row>
    <row r="11" spans="1:8" ht="15" x14ac:dyDescent="0.2">
      <c r="A11" s="905">
        <v>3</v>
      </c>
      <c r="B11" s="225" t="s">
        <v>394</v>
      </c>
      <c r="C11" s="203">
        <v>23.742601624615389</v>
      </c>
      <c r="D11" s="203">
        <v>0</v>
      </c>
      <c r="E11" s="377">
        <v>22.221777996274053</v>
      </c>
      <c r="F11" s="203">
        <v>3214.8</v>
      </c>
      <c r="G11" s="377">
        <v>30.330994049999997</v>
      </c>
      <c r="H11" s="203">
        <f t="shared" si="0"/>
        <v>-8.1092160537259446</v>
      </c>
    </row>
    <row r="12" spans="1:8" ht="15" x14ac:dyDescent="0.2">
      <c r="A12" s="905">
        <v>4</v>
      </c>
      <c r="B12" s="225" t="s">
        <v>395</v>
      </c>
      <c r="C12" s="203">
        <v>14.328152252307692</v>
      </c>
      <c r="D12" s="203">
        <v>0</v>
      </c>
      <c r="E12" s="203">
        <v>14.493220541402074</v>
      </c>
      <c r="F12" s="203">
        <v>2227.1</v>
      </c>
      <c r="G12" s="203">
        <v>12.67356792</v>
      </c>
      <c r="H12" s="203">
        <f t="shared" si="0"/>
        <v>1.8196526214020743</v>
      </c>
    </row>
    <row r="13" spans="1:8" ht="15" x14ac:dyDescent="0.2">
      <c r="A13" s="905">
        <v>5</v>
      </c>
      <c r="B13" s="227" t="s">
        <v>396</v>
      </c>
      <c r="C13" s="203">
        <v>42.778607686153848</v>
      </c>
      <c r="D13" s="203">
        <v>0</v>
      </c>
      <c r="E13" s="377">
        <v>43.258181535871977</v>
      </c>
      <c r="F13" s="203">
        <v>1273.2</v>
      </c>
      <c r="G13" s="377">
        <v>21.64350984</v>
      </c>
      <c r="H13" s="203">
        <f t="shared" si="0"/>
        <v>21.614671695871976</v>
      </c>
    </row>
    <row r="14" spans="1:8" ht="15" x14ac:dyDescent="0.2">
      <c r="A14" s="905">
        <v>6</v>
      </c>
      <c r="B14" s="225" t="s">
        <v>397</v>
      </c>
      <c r="C14" s="203">
        <v>67.001607692307701</v>
      </c>
      <c r="D14" s="203">
        <v>0</v>
      </c>
      <c r="E14" s="203">
        <v>68.279622995983402</v>
      </c>
      <c r="F14" s="203">
        <v>766.8</v>
      </c>
      <c r="G14" s="203">
        <v>25.287252799999997</v>
      </c>
      <c r="H14" s="203">
        <f t="shared" si="0"/>
        <v>42.992370195983405</v>
      </c>
    </row>
    <row r="15" spans="1:8" ht="15" x14ac:dyDescent="0.2">
      <c r="A15" s="905">
        <v>7</v>
      </c>
      <c r="B15" s="227" t="s">
        <v>398</v>
      </c>
      <c r="C15" s="203">
        <v>38.559708332307693</v>
      </c>
      <c r="D15" s="203">
        <v>0</v>
      </c>
      <c r="E15" s="203">
        <v>40.752360331271632</v>
      </c>
      <c r="F15" s="203">
        <v>1840</v>
      </c>
      <c r="G15" s="203">
        <v>28.193938320000001</v>
      </c>
      <c r="H15" s="203">
        <f t="shared" si="0"/>
        <v>12.558422011271631</v>
      </c>
    </row>
    <row r="16" spans="1:8" ht="15" x14ac:dyDescent="0.2">
      <c r="A16" s="905">
        <v>8</v>
      </c>
      <c r="B16" s="225" t="s">
        <v>399</v>
      </c>
      <c r="C16" s="203">
        <v>32.195247636923078</v>
      </c>
      <c r="D16" s="203">
        <v>0</v>
      </c>
      <c r="E16" s="203">
        <v>34.58823006842907</v>
      </c>
      <c r="F16" s="203">
        <v>2223.5</v>
      </c>
      <c r="G16" s="203">
        <v>28.446785840000004</v>
      </c>
      <c r="H16" s="203">
        <f t="shared" si="0"/>
        <v>6.1414442284290658</v>
      </c>
    </row>
    <row r="17" spans="1:8" ht="15" x14ac:dyDescent="0.2">
      <c r="A17" s="905">
        <v>9</v>
      </c>
      <c r="B17" s="225" t="s">
        <v>400</v>
      </c>
      <c r="C17" s="203">
        <v>22.52713584</v>
      </c>
      <c r="D17" s="203">
        <v>0</v>
      </c>
      <c r="E17" s="203">
        <v>21.177816055200001</v>
      </c>
      <c r="F17" s="203">
        <v>1985.6</v>
      </c>
      <c r="G17" s="203">
        <v>17.774682720000001</v>
      </c>
      <c r="H17" s="203">
        <f t="shared" si="0"/>
        <v>3.4031333351999997</v>
      </c>
    </row>
    <row r="18" spans="1:8" ht="15" x14ac:dyDescent="0.2">
      <c r="A18" s="905">
        <v>10</v>
      </c>
      <c r="B18" s="225" t="s">
        <v>401</v>
      </c>
      <c r="C18" s="203">
        <v>16.379093483076925</v>
      </c>
      <c r="D18" s="203">
        <v>0</v>
      </c>
      <c r="E18" s="203">
        <v>15.540751665</v>
      </c>
      <c r="F18" s="203">
        <v>2740</v>
      </c>
      <c r="G18" s="203">
        <v>18.583557600000002</v>
      </c>
      <c r="H18" s="203">
        <f>D18+E18-G18</f>
        <v>-3.0428059350000023</v>
      </c>
    </row>
    <row r="19" spans="1:8" ht="15" x14ac:dyDescent="0.2">
      <c r="A19" s="905">
        <v>11</v>
      </c>
      <c r="B19" s="225" t="s">
        <v>402</v>
      </c>
      <c r="C19" s="203">
        <v>37.215649790769227</v>
      </c>
      <c r="D19" s="203">
        <v>0</v>
      </c>
      <c r="E19" s="203">
        <v>34.801857297376799</v>
      </c>
      <c r="F19" s="203">
        <v>3907.8</v>
      </c>
      <c r="G19" s="203">
        <v>57.791285430000002</v>
      </c>
      <c r="H19" s="203">
        <f t="shared" si="0"/>
        <v>-22.989428132623203</v>
      </c>
    </row>
    <row r="20" spans="1:8" ht="15" x14ac:dyDescent="0.2">
      <c r="A20" s="905">
        <v>12</v>
      </c>
      <c r="B20" s="225" t="s">
        <v>403</v>
      </c>
      <c r="C20" s="203">
        <v>64.16</v>
      </c>
      <c r="D20" s="203">
        <v>2.23</v>
      </c>
      <c r="E20" s="203">
        <v>61.897561398200004</v>
      </c>
      <c r="F20" s="203">
        <v>421</v>
      </c>
      <c r="G20" s="203">
        <v>10.736392950000001</v>
      </c>
      <c r="H20" s="203">
        <f t="shared" si="0"/>
        <v>53.391168448199998</v>
      </c>
    </row>
    <row r="21" spans="1:8" ht="15" x14ac:dyDescent="0.2">
      <c r="A21" s="905">
        <v>13</v>
      </c>
      <c r="B21" s="225" t="s">
        <v>404</v>
      </c>
      <c r="C21" s="203">
        <v>19.642480707692307</v>
      </c>
      <c r="D21" s="203">
        <v>0</v>
      </c>
      <c r="E21" s="377">
        <v>19.020964320000001</v>
      </c>
      <c r="F21" s="203">
        <v>6135.6</v>
      </c>
      <c r="G21" s="377">
        <v>47.88785</v>
      </c>
      <c r="H21" s="203">
        <f t="shared" si="0"/>
        <v>-28.866885679999999</v>
      </c>
    </row>
    <row r="22" spans="1:8" x14ac:dyDescent="0.2">
      <c r="A22" s="905" t="s">
        <v>18</v>
      </c>
      <c r="B22" s="905"/>
      <c r="C22" s="204">
        <v>425.74521702153851</v>
      </c>
      <c r="D22" s="204">
        <v>2.23</v>
      </c>
      <c r="E22" s="204">
        <f>SUM(E9:E21)</f>
        <v>423.51541949515718</v>
      </c>
      <c r="F22" s="204">
        <f>AVERAGE(F9:F21)</f>
        <v>2516.4923076923078</v>
      </c>
      <c r="G22" s="204">
        <f>SUM(G9:G21)</f>
        <v>350.40361734999999</v>
      </c>
      <c r="H22" s="204">
        <f>SUM(H9:H21)</f>
        <v>75.341802145157089</v>
      </c>
    </row>
    <row r="23" spans="1:8" ht="27" customHeight="1" x14ac:dyDescent="0.2">
      <c r="A23" s="1165" t="s">
        <v>1006</v>
      </c>
      <c r="B23" s="1165"/>
      <c r="C23" s="1165"/>
      <c r="D23" s="1165"/>
      <c r="E23" s="1165"/>
      <c r="F23" s="1165"/>
      <c r="G23" s="1165"/>
      <c r="H23" s="1165"/>
    </row>
    <row r="24" spans="1:8" x14ac:dyDescent="0.2">
      <c r="A24" s="911"/>
      <c r="B24" s="911"/>
      <c r="C24" s="911"/>
      <c r="D24" s="911"/>
      <c r="E24" s="20"/>
      <c r="F24" s="20"/>
      <c r="G24" s="16"/>
      <c r="H24" s="16"/>
    </row>
    <row r="25" spans="1:8" x14ac:dyDescent="0.2">
      <c r="A25" s="24" t="s">
        <v>11</v>
      </c>
      <c r="B25" s="911"/>
      <c r="C25" s="911"/>
      <c r="D25" s="911"/>
      <c r="E25" s="24"/>
      <c r="F25" s="24"/>
      <c r="G25" s="911"/>
      <c r="H25" s="904" t="s">
        <v>12</v>
      </c>
    </row>
    <row r="26" spans="1:8" x14ac:dyDescent="0.2">
      <c r="A26" s="911"/>
      <c r="B26" s="911"/>
      <c r="C26" s="911"/>
      <c r="D26" s="911"/>
      <c r="E26" s="1086" t="s">
        <v>13</v>
      </c>
      <c r="F26" s="1086"/>
      <c r="G26" s="1086"/>
      <c r="H26" s="1086"/>
    </row>
    <row r="27" spans="1:8" x14ac:dyDescent="0.2">
      <c r="A27" s="911"/>
      <c r="B27" s="911"/>
      <c r="C27" s="911"/>
      <c r="D27" s="911"/>
      <c r="E27" s="1086" t="s">
        <v>19</v>
      </c>
      <c r="F27" s="1086"/>
      <c r="G27" s="1086"/>
      <c r="H27" s="1086"/>
    </row>
    <row r="28" spans="1:8" x14ac:dyDescent="0.2">
      <c r="A28" s="911"/>
      <c r="B28" s="911"/>
      <c r="C28" s="911"/>
      <c r="D28" s="911"/>
      <c r="E28" s="911"/>
      <c r="F28" s="911"/>
      <c r="G28" s="911"/>
      <c r="H28" s="24" t="s">
        <v>85</v>
      </c>
    </row>
  </sheetData>
  <mergeCells count="8">
    <mergeCell ref="E27:H27"/>
    <mergeCell ref="A2:H2"/>
    <mergeCell ref="A6:C6"/>
    <mergeCell ref="D6:H6"/>
    <mergeCell ref="A23:H23"/>
    <mergeCell ref="E26:H26"/>
    <mergeCell ref="A4:H4"/>
    <mergeCell ref="A3:H3"/>
  </mergeCells>
  <phoneticPr fontId="0" type="noConversion"/>
  <printOptions horizontalCentered="1"/>
  <pageMargins left="0.70866141732283472" right="0.70866141732283472" top="0.16" bottom="0" header="0.31" footer="0.31496062992125984"/>
  <pageSetup paperSize="9" orientation="landscape" r:id="rId1"/>
  <colBreaks count="1" manualBreakCount="1">
    <brk id="8" min="1" max="3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00000"/>
    <pageSetUpPr fitToPage="1"/>
  </sheetPr>
  <dimension ref="A2:T35"/>
  <sheetViews>
    <sheetView view="pageBreakPreview" topLeftCell="A15" zoomScale="94" zoomScaleSheetLayoutView="94" workbookViewId="0">
      <selection activeCell="G28" sqref="G28"/>
    </sheetView>
  </sheetViews>
  <sheetFormatPr defaultRowHeight="12.75" x14ac:dyDescent="0.2"/>
  <cols>
    <col min="1" max="1" width="4.42578125" style="12" customWidth="1"/>
    <col min="2" max="2" width="38.85546875" style="12" customWidth="1"/>
    <col min="3" max="3" width="12.28515625" style="12" customWidth="1"/>
    <col min="4" max="5" width="15.140625" style="12" customWidth="1"/>
    <col min="6" max="6" width="15.85546875" style="12" customWidth="1"/>
    <col min="7" max="7" width="13.85546875" style="12" customWidth="1"/>
    <col min="8" max="8" width="45.5703125" style="12" customWidth="1"/>
    <col min="9" max="16384" width="9.140625" style="12"/>
  </cols>
  <sheetData>
    <row r="2" spans="1:20" customFormat="1" ht="15" x14ac:dyDescent="0.2">
      <c r="D2" s="24"/>
      <c r="E2" s="24"/>
      <c r="F2" s="24"/>
      <c r="G2" s="12"/>
      <c r="H2" s="31" t="s">
        <v>69</v>
      </c>
      <c r="I2" s="24"/>
      <c r="J2" s="12"/>
      <c r="L2" s="12"/>
      <c r="M2" s="32"/>
      <c r="N2" s="32"/>
    </row>
    <row r="3" spans="1:20" customFormat="1" ht="15" x14ac:dyDescent="0.2">
      <c r="A3" s="1080" t="s">
        <v>0</v>
      </c>
      <c r="B3" s="1080"/>
      <c r="C3" s="1080"/>
      <c r="D3" s="1080"/>
      <c r="E3" s="1080"/>
      <c r="F3" s="1080"/>
      <c r="G3" s="1080"/>
      <c r="H3" s="1080"/>
      <c r="I3" s="34"/>
      <c r="J3" s="34"/>
      <c r="K3" s="34"/>
      <c r="L3" s="34"/>
      <c r="M3" s="34"/>
      <c r="N3" s="34"/>
    </row>
    <row r="4" spans="1:20" customFormat="1" ht="15.75" x14ac:dyDescent="0.25">
      <c r="A4" s="1056" t="s">
        <v>794</v>
      </c>
      <c r="B4" s="1056"/>
      <c r="C4" s="1056"/>
      <c r="D4" s="1056"/>
      <c r="E4" s="1056"/>
      <c r="F4" s="1056"/>
      <c r="G4" s="1056"/>
      <c r="H4" s="1056"/>
      <c r="I4" s="70"/>
      <c r="J4" s="70"/>
      <c r="K4" s="70"/>
      <c r="L4" s="70"/>
      <c r="M4" s="70"/>
      <c r="N4" s="70"/>
      <c r="O4" s="70"/>
      <c r="P4" s="70"/>
      <c r="Q4" s="70"/>
    </row>
    <row r="5" spans="1:20" customFormat="1" ht="10.5" customHeight="1" x14ac:dyDescent="0.2"/>
    <row r="6" spans="1:20" ht="19.5" customHeight="1" x14ac:dyDescent="0.25">
      <c r="A6" s="987" t="s">
        <v>918</v>
      </c>
      <c r="B6" s="1172"/>
      <c r="C6" s="1172"/>
      <c r="D6" s="1172"/>
      <c r="E6" s="1172"/>
      <c r="F6" s="1172"/>
      <c r="G6" s="1172"/>
      <c r="H6" s="1172"/>
    </row>
    <row r="7" spans="1:20" s="10" customFormat="1" ht="15.75" hidden="1" customHeight="1" x14ac:dyDescent="0.25">
      <c r="A7" s="12"/>
      <c r="B7" s="12"/>
      <c r="C7" s="12"/>
      <c r="D7" s="12"/>
      <c r="E7" s="12"/>
      <c r="F7" s="12"/>
      <c r="G7" s="12"/>
      <c r="H7" s="12"/>
      <c r="I7" s="12"/>
      <c r="J7" s="12"/>
    </row>
    <row r="8" spans="1:20" s="10" customFormat="1" ht="15.75" x14ac:dyDescent="0.25">
      <c r="D8" s="12"/>
      <c r="E8" s="12"/>
      <c r="F8" s="12"/>
      <c r="G8" s="12"/>
      <c r="H8" s="482" t="s">
        <v>28</v>
      </c>
      <c r="I8" s="12"/>
    </row>
    <row r="9" spans="1:20" s="10" customFormat="1" ht="15.75" x14ac:dyDescent="0.25">
      <c r="A9" s="1163" t="s">
        <v>463</v>
      </c>
      <c r="B9" s="1163"/>
      <c r="C9" s="1163"/>
      <c r="D9" s="67"/>
      <c r="E9" s="67"/>
      <c r="F9" s="1164" t="s">
        <v>915</v>
      </c>
      <c r="G9" s="1164"/>
      <c r="H9" s="1164"/>
      <c r="J9" s="73"/>
      <c r="K9" s="73"/>
      <c r="L9" s="73"/>
      <c r="S9" s="78"/>
      <c r="T9" s="77"/>
    </row>
    <row r="10" spans="1:20" s="26" customFormat="1" ht="55.5" customHeight="1" x14ac:dyDescent="0.2">
      <c r="A10" s="25"/>
      <c r="B10" s="195" t="s">
        <v>29</v>
      </c>
      <c r="C10" s="823" t="s">
        <v>919</v>
      </c>
      <c r="D10" s="823" t="s">
        <v>821</v>
      </c>
      <c r="E10" s="640" t="s">
        <v>755</v>
      </c>
      <c r="F10" s="195" t="s">
        <v>249</v>
      </c>
      <c r="G10" s="640" t="s">
        <v>756</v>
      </c>
      <c r="H10" s="823" t="s">
        <v>920</v>
      </c>
    </row>
    <row r="11" spans="1:20" s="26" customFormat="1" ht="14.25" customHeight="1" x14ac:dyDescent="0.2">
      <c r="A11" s="41">
        <v>1</v>
      </c>
      <c r="B11" s="4">
        <v>2</v>
      </c>
      <c r="C11" s="3">
        <v>3</v>
      </c>
      <c r="D11" s="3">
        <v>4</v>
      </c>
      <c r="E11" s="3">
        <v>5</v>
      </c>
      <c r="F11" s="3">
        <v>6</v>
      </c>
      <c r="G11" s="3">
        <v>7</v>
      </c>
      <c r="H11" s="3">
        <v>8</v>
      </c>
    </row>
    <row r="12" spans="1:20" ht="16.5" customHeight="1" x14ac:dyDescent="0.2">
      <c r="A12" s="27" t="s">
        <v>30</v>
      </c>
      <c r="B12" s="19" t="s">
        <v>31</v>
      </c>
      <c r="C12" s="1169">
        <v>97.49</v>
      </c>
      <c r="D12" s="1173">
        <v>0</v>
      </c>
      <c r="E12" s="1173">
        <v>96.43</v>
      </c>
      <c r="F12" s="1169">
        <v>0</v>
      </c>
      <c r="G12" s="92"/>
      <c r="H12" s="1169">
        <f>(D16+E16)-G16</f>
        <v>0.48000000000000398</v>
      </c>
      <c r="I12" s="26"/>
      <c r="J12" s="26"/>
      <c r="K12" s="26"/>
      <c r="L12" s="26"/>
    </row>
    <row r="13" spans="1:20" ht="16.5" customHeight="1" x14ac:dyDescent="0.2">
      <c r="A13" s="28"/>
      <c r="B13" s="487" t="s">
        <v>32</v>
      </c>
      <c r="C13" s="1174"/>
      <c r="D13" s="1170"/>
      <c r="E13" s="1170"/>
      <c r="F13" s="1174"/>
      <c r="G13" s="203">
        <v>76.59</v>
      </c>
      <c r="H13" s="1170"/>
      <c r="I13" s="26"/>
      <c r="J13" s="26"/>
      <c r="K13" s="26"/>
      <c r="L13" s="26"/>
    </row>
    <row r="14" spans="1:20" ht="18.75" customHeight="1" x14ac:dyDescent="0.2">
      <c r="A14" s="28"/>
      <c r="B14" s="487" t="s">
        <v>206</v>
      </c>
      <c r="C14" s="1174"/>
      <c r="D14" s="1170"/>
      <c r="E14" s="1170"/>
      <c r="F14" s="1174"/>
      <c r="G14" s="92">
        <v>0</v>
      </c>
      <c r="H14" s="1170"/>
      <c r="I14" s="26"/>
      <c r="J14" s="26"/>
      <c r="K14" s="26"/>
      <c r="L14" s="26"/>
    </row>
    <row r="15" spans="1:20" s="26" customFormat="1" ht="29.25" customHeight="1" x14ac:dyDescent="0.2">
      <c r="A15" s="29"/>
      <c r="B15" s="488" t="s">
        <v>207</v>
      </c>
      <c r="C15" s="1175"/>
      <c r="D15" s="1171"/>
      <c r="E15" s="1171"/>
      <c r="F15" s="1175"/>
      <c r="G15" s="69">
        <v>19.36</v>
      </c>
      <c r="H15" s="1171"/>
    </row>
    <row r="16" spans="1:20" s="55" customFormat="1" ht="16.5" customHeight="1" x14ac:dyDescent="0.2">
      <c r="A16" s="25"/>
      <c r="B16" s="489" t="s">
        <v>33</v>
      </c>
      <c r="C16" s="334">
        <f>C12</f>
        <v>97.49</v>
      </c>
      <c r="D16" s="334">
        <f>D12</f>
        <v>0</v>
      </c>
      <c r="E16" s="334">
        <f>E12</f>
        <v>96.43</v>
      </c>
      <c r="F16" s="334">
        <f>F12</f>
        <v>0</v>
      </c>
      <c r="G16" s="334">
        <f>G13+G14+G15</f>
        <v>95.95</v>
      </c>
      <c r="H16" s="334">
        <f>H12</f>
        <v>0.48000000000000398</v>
      </c>
      <c r="I16" s="26"/>
      <c r="J16" s="26"/>
      <c r="K16" s="26"/>
      <c r="L16" s="26"/>
    </row>
    <row r="17" spans="1:12" s="26" customFormat="1" ht="38.25" x14ac:dyDescent="0.2">
      <c r="A17" s="25" t="s">
        <v>34</v>
      </c>
      <c r="B17" s="489" t="s">
        <v>248</v>
      </c>
      <c r="C17" s="1166">
        <v>97.48</v>
      </c>
      <c r="D17" s="1176">
        <v>0.53</v>
      </c>
      <c r="E17" s="1176">
        <v>96.42</v>
      </c>
      <c r="F17" s="1166">
        <v>0</v>
      </c>
      <c r="G17" s="203">
        <v>0.96</v>
      </c>
      <c r="H17" s="1166">
        <f>(D25+E25)-G25</f>
        <v>0</v>
      </c>
    </row>
    <row r="18" spans="1:12" ht="30" customHeight="1" x14ac:dyDescent="0.2">
      <c r="A18" s="28"/>
      <c r="B18" s="488" t="s">
        <v>762</v>
      </c>
      <c r="C18" s="1167"/>
      <c r="D18" s="1177"/>
      <c r="E18" s="1177"/>
      <c r="F18" s="1167"/>
      <c r="G18" s="203">
        <v>76.91</v>
      </c>
      <c r="H18" s="1167"/>
      <c r="I18" s="26"/>
      <c r="J18" s="26"/>
      <c r="K18" s="26"/>
      <c r="L18" s="26"/>
    </row>
    <row r="19" spans="1:12" ht="16.5" customHeight="1" x14ac:dyDescent="0.2">
      <c r="A19" s="28"/>
      <c r="B19" s="488" t="s">
        <v>35</v>
      </c>
      <c r="C19" s="1167"/>
      <c r="D19" s="1177"/>
      <c r="E19" s="1177"/>
      <c r="F19" s="1167"/>
      <c r="G19" s="203">
        <v>5.08</v>
      </c>
      <c r="H19" s="1167"/>
      <c r="I19" s="26"/>
      <c r="J19" s="26"/>
      <c r="K19" s="26"/>
      <c r="L19" s="26"/>
    </row>
    <row r="20" spans="1:12" ht="16.5" customHeight="1" x14ac:dyDescent="0.2">
      <c r="A20" s="28"/>
      <c r="B20" s="488" t="s">
        <v>209</v>
      </c>
      <c r="C20" s="1167"/>
      <c r="D20" s="1177"/>
      <c r="E20" s="1177"/>
      <c r="F20" s="1167"/>
      <c r="G20" s="262">
        <v>3.46</v>
      </c>
      <c r="H20" s="1167"/>
      <c r="I20" s="26"/>
      <c r="J20" s="26"/>
      <c r="K20" s="26"/>
      <c r="L20" s="26"/>
    </row>
    <row r="21" spans="1:12" s="26" customFormat="1" ht="25.5" x14ac:dyDescent="0.2">
      <c r="A21" s="29"/>
      <c r="B21" s="488" t="s">
        <v>36</v>
      </c>
      <c r="C21" s="1167"/>
      <c r="D21" s="1177"/>
      <c r="E21" s="1177"/>
      <c r="F21" s="1167"/>
      <c r="G21" s="262">
        <v>0.54</v>
      </c>
      <c r="H21" s="1167"/>
    </row>
    <row r="22" spans="1:12" s="26" customFormat="1" ht="16.5" customHeight="1" x14ac:dyDescent="0.2">
      <c r="A22" s="29"/>
      <c r="B22" s="488" t="s">
        <v>208</v>
      </c>
      <c r="C22" s="1167"/>
      <c r="D22" s="1177"/>
      <c r="E22" s="1177"/>
      <c r="F22" s="1167"/>
      <c r="G22" s="262">
        <v>0</v>
      </c>
      <c r="H22" s="1167"/>
    </row>
    <row r="23" spans="1:12" s="26" customFormat="1" x14ac:dyDescent="0.2">
      <c r="A23" s="29"/>
      <c r="B23" s="488" t="s">
        <v>210</v>
      </c>
      <c r="C23" s="1167"/>
      <c r="D23" s="1177"/>
      <c r="E23" s="1177"/>
      <c r="F23" s="1167"/>
      <c r="G23" s="262">
        <v>9.5</v>
      </c>
      <c r="H23" s="1167"/>
    </row>
    <row r="24" spans="1:12" s="26" customFormat="1" ht="19.5" customHeight="1" x14ac:dyDescent="0.2">
      <c r="A24" s="25"/>
      <c r="B24" s="488" t="s">
        <v>211</v>
      </c>
      <c r="C24" s="1168"/>
      <c r="D24" s="1178"/>
      <c r="E24" s="1178"/>
      <c r="F24" s="1168"/>
      <c r="G24" s="262">
        <v>0.5</v>
      </c>
      <c r="H24" s="1168"/>
    </row>
    <row r="25" spans="1:12" s="55" customFormat="1" ht="16.5" customHeight="1" x14ac:dyDescent="0.2">
      <c r="A25" s="93"/>
      <c r="B25" s="490" t="s">
        <v>33</v>
      </c>
      <c r="C25" s="335">
        <f>C17</f>
        <v>97.48</v>
      </c>
      <c r="D25" s="335">
        <f>D17</f>
        <v>0.53</v>
      </c>
      <c r="E25" s="335">
        <f>E17</f>
        <v>96.42</v>
      </c>
      <c r="F25" s="335">
        <f>F17</f>
        <v>0</v>
      </c>
      <c r="G25" s="335">
        <f>SUM(G17:G24)</f>
        <v>96.949999999999989</v>
      </c>
      <c r="H25" s="336">
        <f>H17</f>
        <v>0</v>
      </c>
      <c r="I25" s="26"/>
      <c r="J25" s="26"/>
      <c r="K25" s="26"/>
      <c r="L25" s="26"/>
    </row>
    <row r="26" spans="1:12" s="11" customFormat="1" ht="16.5" customHeight="1" x14ac:dyDescent="0.2">
      <c r="A26" s="27"/>
      <c r="B26" s="19" t="s">
        <v>37</v>
      </c>
      <c r="C26" s="334">
        <f t="shared" ref="C26:H26" si="0">C16+C25</f>
        <v>194.97</v>
      </c>
      <c r="D26" s="334">
        <f t="shared" si="0"/>
        <v>0.53</v>
      </c>
      <c r="E26" s="334">
        <f t="shared" si="0"/>
        <v>192.85000000000002</v>
      </c>
      <c r="F26" s="334">
        <f t="shared" si="0"/>
        <v>0</v>
      </c>
      <c r="G26" s="334">
        <f t="shared" si="0"/>
        <v>192.89999999999998</v>
      </c>
      <c r="H26" s="334">
        <f t="shared" si="0"/>
        <v>0.48000000000000398</v>
      </c>
      <c r="I26" s="26"/>
      <c r="J26" s="26"/>
      <c r="K26" s="26"/>
      <c r="L26" s="26"/>
    </row>
    <row r="27" spans="1:12" s="11" customFormat="1" ht="16.5" customHeight="1" x14ac:dyDescent="0.2">
      <c r="A27" s="20"/>
      <c r="B27" s="20"/>
      <c r="C27" s="486"/>
      <c r="D27" s="486"/>
      <c r="E27" s="486"/>
      <c r="F27" s="486"/>
      <c r="H27" s="486"/>
      <c r="I27" s="26"/>
      <c r="J27" s="26"/>
      <c r="K27" s="26"/>
      <c r="L27" s="26"/>
    </row>
    <row r="28" spans="1:12" s="11" customFormat="1" ht="16.5" customHeight="1" x14ac:dyDescent="0.2">
      <c r="B28" s="20"/>
      <c r="C28" s="486"/>
      <c r="D28" s="486"/>
      <c r="E28" s="486"/>
      <c r="F28" s="486"/>
      <c r="G28" s="924">
        <f>G26/(D26+E26)</f>
        <v>0.99751784052125325</v>
      </c>
      <c r="H28" s="486"/>
      <c r="I28" s="26"/>
      <c r="J28" s="26"/>
      <c r="K28" s="26"/>
      <c r="L28" s="26"/>
    </row>
    <row r="29" spans="1:12" s="26" customFormat="1" ht="16.5" customHeight="1" x14ac:dyDescent="0.2">
      <c r="E29" s="26">
        <v>48.74</v>
      </c>
    </row>
    <row r="30" spans="1:12" s="26" customFormat="1" ht="16.5" customHeight="1" x14ac:dyDescent="0.2">
      <c r="E30" s="26">
        <v>66.75</v>
      </c>
    </row>
    <row r="31" spans="1:12" x14ac:dyDescent="0.2">
      <c r="E31" s="12">
        <v>77.36</v>
      </c>
    </row>
    <row r="32" spans="1:12" x14ac:dyDescent="0.2">
      <c r="A32" s="24" t="s">
        <v>11</v>
      </c>
      <c r="E32" s="24">
        <f>E29+E30+E31</f>
        <v>192.85000000000002</v>
      </c>
      <c r="F32" s="24"/>
      <c r="H32" s="80" t="s">
        <v>12</v>
      </c>
    </row>
    <row r="33" spans="5:8" ht="12.75" customHeight="1" x14ac:dyDescent="0.2">
      <c r="E33" s="1086" t="s">
        <v>13</v>
      </c>
      <c r="F33" s="1086"/>
      <c r="G33" s="1086"/>
      <c r="H33" s="1086"/>
    </row>
    <row r="34" spans="5:8" ht="12.75" customHeight="1" x14ac:dyDescent="0.2">
      <c r="E34" s="1086" t="s">
        <v>19</v>
      </c>
      <c r="F34" s="1086"/>
      <c r="G34" s="1086"/>
      <c r="H34" s="1086"/>
    </row>
    <row r="35" spans="5:8" x14ac:dyDescent="0.2">
      <c r="H35" s="1" t="s">
        <v>629</v>
      </c>
    </row>
  </sheetData>
  <mergeCells count="17">
    <mergeCell ref="E33:H33"/>
    <mergeCell ref="E34:H34"/>
    <mergeCell ref="A3:H3"/>
    <mergeCell ref="A4:H4"/>
    <mergeCell ref="C12:C15"/>
    <mergeCell ref="D12:D15"/>
    <mergeCell ref="F12:F15"/>
    <mergeCell ref="C17:C24"/>
    <mergeCell ref="H12:H15"/>
    <mergeCell ref="A6:H6"/>
    <mergeCell ref="F9:H9"/>
    <mergeCell ref="A9:C9"/>
    <mergeCell ref="E12:E15"/>
    <mergeCell ref="H17:H24"/>
    <mergeCell ref="D17:D24"/>
    <mergeCell ref="E17:E24"/>
    <mergeCell ref="F17:F24"/>
  </mergeCells>
  <phoneticPr fontId="0" type="noConversion"/>
  <printOptions horizontalCentered="1"/>
  <pageMargins left="0.5" right="0.41" top="0.23622047244094491" bottom="0" header="0.31496062992125984" footer="0.31496062992125984"/>
  <pageSetup paperSize="9" scale="8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R34"/>
  <sheetViews>
    <sheetView view="pageBreakPreview" topLeftCell="A12" zoomScale="90" zoomScaleSheetLayoutView="90" workbookViewId="0">
      <selection activeCell="H21" sqref="H21"/>
    </sheetView>
  </sheetViews>
  <sheetFormatPr defaultRowHeight="12.75" x14ac:dyDescent="0.2"/>
  <cols>
    <col min="1" max="1" width="9.140625" style="383"/>
    <col min="2" max="2" width="21.140625" style="383" customWidth="1"/>
    <col min="3" max="3" width="30.7109375" style="383" customWidth="1"/>
    <col min="4" max="4" width="30.140625" style="383" customWidth="1"/>
    <col min="5" max="5" width="34.7109375" style="383" customWidth="1"/>
    <col min="6" max="16384" width="9.140625" style="383"/>
  </cols>
  <sheetData>
    <row r="1" spans="1:18" s="378" customFormat="1" ht="15" x14ac:dyDescent="0.2">
      <c r="E1" s="379" t="s">
        <v>605</v>
      </c>
      <c r="F1" s="380"/>
    </row>
    <row r="2" spans="1:18" s="378" customFormat="1" ht="15" x14ac:dyDescent="0.2">
      <c r="A2" s="1179" t="s">
        <v>0</v>
      </c>
      <c r="B2" s="1179"/>
      <c r="C2" s="1179"/>
      <c r="D2" s="1179"/>
      <c r="E2" s="1179"/>
      <c r="F2" s="381"/>
    </row>
    <row r="3" spans="1:18" s="378" customFormat="1" ht="20.25" x14ac:dyDescent="0.3">
      <c r="A3" s="1180" t="s">
        <v>794</v>
      </c>
      <c r="B3" s="1180"/>
      <c r="C3" s="1180"/>
      <c r="D3" s="1180"/>
      <c r="E3" s="1180"/>
      <c r="F3" s="382"/>
    </row>
    <row r="4" spans="1:18" s="378" customFormat="1" ht="10.5" customHeight="1" x14ac:dyDescent="0.2"/>
    <row r="5" spans="1:18" ht="16.5" customHeight="1" x14ac:dyDescent="0.25">
      <c r="A5" s="1181" t="s">
        <v>848</v>
      </c>
      <c r="B5" s="1181"/>
      <c r="C5" s="1181"/>
      <c r="D5" s="1181"/>
      <c r="E5" s="1181"/>
    </row>
    <row r="7" spans="1:18" ht="0.75" customHeight="1" x14ac:dyDescent="0.2"/>
    <row r="8" spans="1:18" x14ac:dyDescent="0.2">
      <c r="A8" s="384" t="s">
        <v>606</v>
      </c>
    </row>
    <row r="9" spans="1:18" x14ac:dyDescent="0.2">
      <c r="D9" s="1182" t="s">
        <v>914</v>
      </c>
      <c r="E9" s="1182"/>
      <c r="Q9" s="385"/>
      <c r="R9" s="386"/>
    </row>
    <row r="10" spans="1:18" ht="26.25" customHeight="1" x14ac:dyDescent="0.2">
      <c r="A10" s="1183" t="s">
        <v>2</v>
      </c>
      <c r="B10" s="1183" t="s">
        <v>3</v>
      </c>
      <c r="C10" s="1184" t="s">
        <v>607</v>
      </c>
      <c r="D10" s="1185"/>
      <c r="E10" s="1186"/>
      <c r="Q10" s="386"/>
      <c r="R10" s="386"/>
    </row>
    <row r="11" spans="1:18" ht="56.25" customHeight="1" x14ac:dyDescent="0.2">
      <c r="A11" s="1183"/>
      <c r="B11" s="1183"/>
      <c r="C11" s="387" t="s">
        <v>608</v>
      </c>
      <c r="D11" s="387" t="s">
        <v>609</v>
      </c>
      <c r="E11" s="387" t="s">
        <v>610</v>
      </c>
    </row>
    <row r="12" spans="1:18" s="390" customFormat="1" ht="15.75" customHeight="1" x14ac:dyDescent="0.2">
      <c r="A12" s="388">
        <v>1</v>
      </c>
      <c r="B12" s="389">
        <v>2</v>
      </c>
      <c r="C12" s="388">
        <v>3</v>
      </c>
      <c r="D12" s="389">
        <v>4</v>
      </c>
      <c r="E12" s="388">
        <v>5</v>
      </c>
    </row>
    <row r="13" spans="1:18" ht="25.5" customHeight="1" x14ac:dyDescent="0.2">
      <c r="A13" s="194">
        <v>1</v>
      </c>
      <c r="B13" s="225" t="s">
        <v>392</v>
      </c>
      <c r="C13" s="799">
        <v>0</v>
      </c>
      <c r="D13" s="799">
        <v>3</v>
      </c>
      <c r="E13" s="205">
        <v>13316</v>
      </c>
    </row>
    <row r="14" spans="1:18" ht="25.5" customHeight="1" x14ac:dyDescent="0.2">
      <c r="A14" s="194">
        <v>2</v>
      </c>
      <c r="B14" s="225" t="s">
        <v>393</v>
      </c>
      <c r="C14" s="799">
        <v>1</v>
      </c>
      <c r="D14" s="799">
        <v>1</v>
      </c>
      <c r="E14" s="205">
        <v>3827</v>
      </c>
    </row>
    <row r="15" spans="1:18" ht="25.5" customHeight="1" x14ac:dyDescent="0.2">
      <c r="A15" s="194">
        <v>3</v>
      </c>
      <c r="B15" s="225" t="s">
        <v>394</v>
      </c>
      <c r="C15" s="799">
        <v>2</v>
      </c>
      <c r="D15" s="799">
        <v>2</v>
      </c>
      <c r="E15" s="205">
        <v>9298</v>
      </c>
    </row>
    <row r="16" spans="1:18" ht="25.5" customHeight="1" x14ac:dyDescent="0.2">
      <c r="A16" s="194">
        <v>4</v>
      </c>
      <c r="B16" s="225" t="s">
        <v>395</v>
      </c>
      <c r="C16" s="799">
        <v>0</v>
      </c>
      <c r="D16" s="799">
        <v>1</v>
      </c>
      <c r="E16" s="205">
        <v>2881</v>
      </c>
    </row>
    <row r="17" spans="1:6" ht="25.5" customHeight="1" x14ac:dyDescent="0.2">
      <c r="A17" s="194">
        <v>5</v>
      </c>
      <c r="B17" s="227" t="s">
        <v>396</v>
      </c>
      <c r="C17" s="800">
        <v>1</v>
      </c>
      <c r="D17" s="799">
        <v>1</v>
      </c>
      <c r="E17" s="205">
        <v>9140</v>
      </c>
    </row>
    <row r="18" spans="1:6" ht="25.5" customHeight="1" x14ac:dyDescent="0.2">
      <c r="A18" s="194">
        <v>6</v>
      </c>
      <c r="B18" s="225" t="s">
        <v>397</v>
      </c>
      <c r="C18" s="799">
        <v>1</v>
      </c>
      <c r="D18" s="799">
        <v>1</v>
      </c>
      <c r="E18" s="205">
        <v>3322</v>
      </c>
    </row>
    <row r="19" spans="1:6" ht="25.5" customHeight="1" x14ac:dyDescent="0.2">
      <c r="A19" s="194">
        <v>7</v>
      </c>
      <c r="B19" s="227" t="s">
        <v>398</v>
      </c>
      <c r="C19" s="799">
        <v>2</v>
      </c>
      <c r="D19" s="799">
        <v>1</v>
      </c>
      <c r="E19" s="205">
        <v>9272</v>
      </c>
    </row>
    <row r="20" spans="1:6" ht="25.5" customHeight="1" x14ac:dyDescent="0.2">
      <c r="A20" s="194">
        <v>8</v>
      </c>
      <c r="B20" s="225" t="s">
        <v>399</v>
      </c>
      <c r="C20" s="799">
        <v>0</v>
      </c>
      <c r="D20" s="799">
        <v>1</v>
      </c>
      <c r="E20" s="205">
        <v>16916</v>
      </c>
    </row>
    <row r="21" spans="1:6" ht="25.5" customHeight="1" x14ac:dyDescent="0.2">
      <c r="A21" s="194">
        <v>9</v>
      </c>
      <c r="B21" s="225" t="s">
        <v>400</v>
      </c>
      <c r="C21" s="799">
        <v>1</v>
      </c>
      <c r="D21" s="799">
        <v>3</v>
      </c>
      <c r="E21" s="205">
        <v>5178</v>
      </c>
    </row>
    <row r="22" spans="1:6" ht="25.5" customHeight="1" x14ac:dyDescent="0.2">
      <c r="A22" s="194">
        <v>10</v>
      </c>
      <c r="B22" s="225" t="s">
        <v>401</v>
      </c>
      <c r="C22" s="799">
        <v>0</v>
      </c>
      <c r="D22" s="799">
        <v>2</v>
      </c>
      <c r="E22" s="205">
        <v>1596</v>
      </c>
    </row>
    <row r="23" spans="1:6" ht="25.5" customHeight="1" x14ac:dyDescent="0.2">
      <c r="A23" s="194">
        <v>11</v>
      </c>
      <c r="B23" s="225" t="s">
        <v>402</v>
      </c>
      <c r="C23" s="799">
        <v>0</v>
      </c>
      <c r="D23" s="799">
        <v>1</v>
      </c>
      <c r="E23" s="205">
        <v>11358</v>
      </c>
    </row>
    <row r="24" spans="1:6" ht="25.5" customHeight="1" x14ac:dyDescent="0.2">
      <c r="A24" s="194">
        <v>12</v>
      </c>
      <c r="B24" s="225" t="s">
        <v>403</v>
      </c>
      <c r="C24" s="799">
        <v>0</v>
      </c>
      <c r="D24" s="799">
        <v>0</v>
      </c>
      <c r="E24" s="205">
        <v>11007</v>
      </c>
    </row>
    <row r="25" spans="1:6" ht="25.5" customHeight="1" x14ac:dyDescent="0.2">
      <c r="A25" s="194">
        <v>13</v>
      </c>
      <c r="B25" s="225" t="s">
        <v>404</v>
      </c>
      <c r="C25" s="799">
        <v>1</v>
      </c>
      <c r="D25" s="799">
        <v>1</v>
      </c>
      <c r="E25" s="205">
        <v>3583</v>
      </c>
    </row>
    <row r="26" spans="1:6" ht="25.5" customHeight="1" x14ac:dyDescent="0.2">
      <c r="A26" s="1093" t="s">
        <v>18</v>
      </c>
      <c r="B26" s="1084"/>
      <c r="C26" s="396">
        <f>SUM(C13:C25)</f>
        <v>9</v>
      </c>
      <c r="D26" s="396">
        <f>SUM(D13:D25)</f>
        <v>18</v>
      </c>
      <c r="E26" s="396">
        <f>SUM(E13:E25)</f>
        <v>100694</v>
      </c>
    </row>
    <row r="27" spans="1:6" x14ac:dyDescent="0.2">
      <c r="E27" s="391"/>
    </row>
    <row r="28" spans="1:6" x14ac:dyDescent="0.2">
      <c r="E28" s="392"/>
    </row>
    <row r="29" spans="1:6" x14ac:dyDescent="0.2">
      <c r="E29" s="393"/>
      <c r="F29" s="394"/>
    </row>
    <row r="30" spans="1:6" x14ac:dyDescent="0.2">
      <c r="C30" s="491"/>
      <c r="D30" s="491"/>
      <c r="E30" s="491"/>
      <c r="F30" s="491"/>
    </row>
    <row r="31" spans="1:6" x14ac:dyDescent="0.2">
      <c r="B31" s="22"/>
      <c r="C31" s="22"/>
      <c r="E31" s="79" t="s">
        <v>12</v>
      </c>
    </row>
    <row r="32" spans="1:6" x14ac:dyDescent="0.2">
      <c r="B32" s="1086" t="s">
        <v>13</v>
      </c>
      <c r="C32" s="1086"/>
      <c r="D32" s="1086"/>
      <c r="E32" s="1086"/>
    </row>
    <row r="33" spans="1:5" x14ac:dyDescent="0.2">
      <c r="B33" s="1086" t="s">
        <v>19</v>
      </c>
      <c r="C33" s="1086"/>
      <c r="D33" s="1086"/>
      <c r="E33" s="1086"/>
    </row>
    <row r="34" spans="1:5" x14ac:dyDescent="0.2">
      <c r="A34" s="393" t="s">
        <v>11</v>
      </c>
      <c r="B34" s="491"/>
      <c r="C34" s="491"/>
      <c r="D34" s="491"/>
      <c r="E34" s="21" t="s">
        <v>629</v>
      </c>
    </row>
  </sheetData>
  <mergeCells count="10">
    <mergeCell ref="B33:E33"/>
    <mergeCell ref="B32:E32"/>
    <mergeCell ref="A2:E2"/>
    <mergeCell ref="A3:E3"/>
    <mergeCell ref="A26:B26"/>
    <mergeCell ref="A5:E5"/>
    <mergeCell ref="D9:E9"/>
    <mergeCell ref="A10:A11"/>
    <mergeCell ref="B10:B11"/>
    <mergeCell ref="C10:E10"/>
  </mergeCells>
  <printOptions horizontalCentered="1"/>
  <pageMargins left="0.70866141732283472" right="0.70866141732283472" top="0.23622047244094491" bottom="0" header="0.31496062992125984" footer="0.31496062992125984"/>
  <pageSetup paperSize="9" scale="85" orientation="landscape" r:id="rId1"/>
  <colBreaks count="1" manualBreakCount="1">
    <brk id="5" max="32"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33"/>
  <sheetViews>
    <sheetView view="pageBreakPreview" zoomScaleSheetLayoutView="100" workbookViewId="0">
      <selection activeCell="K23" sqref="K23"/>
    </sheetView>
  </sheetViews>
  <sheetFormatPr defaultRowHeight="12.75" x14ac:dyDescent="0.2"/>
  <cols>
    <col min="1" max="1" width="5.28515625" customWidth="1"/>
    <col min="2" max="2" width="17" customWidth="1"/>
    <col min="3" max="3" width="33" customWidth="1"/>
    <col min="4" max="4" width="13.85546875" customWidth="1"/>
    <col min="5" max="5" width="14.85546875" customWidth="1"/>
    <col min="6" max="6" width="12.7109375" customWidth="1"/>
    <col min="7" max="7" width="19.42578125" customWidth="1"/>
    <col min="8" max="8" width="11" customWidth="1"/>
    <col min="9" max="9" width="18.7109375" customWidth="1"/>
    <col min="10" max="10" width="11.7109375" customWidth="1"/>
  </cols>
  <sheetData>
    <row r="1" spans="1:10" ht="14.25" x14ac:dyDescent="0.2">
      <c r="I1" s="1196" t="s">
        <v>669</v>
      </c>
      <c r="J1" s="1196"/>
    </row>
    <row r="2" spans="1:10" ht="15.75" x14ac:dyDescent="0.25">
      <c r="A2" s="1056" t="s">
        <v>0</v>
      </c>
      <c r="B2" s="1056"/>
      <c r="C2" s="1056"/>
      <c r="D2" s="1056"/>
      <c r="E2" s="1056"/>
      <c r="F2" s="1056"/>
      <c r="G2" s="1056"/>
      <c r="H2" s="1056"/>
      <c r="I2" s="1056"/>
      <c r="J2" s="1056"/>
    </row>
    <row r="3" spans="1:10" ht="15.75" x14ac:dyDescent="0.25">
      <c r="A3" s="1056" t="s">
        <v>794</v>
      </c>
      <c r="B3" s="1056"/>
      <c r="C3" s="1056"/>
      <c r="D3" s="1056"/>
      <c r="E3" s="1056"/>
      <c r="F3" s="1056"/>
      <c r="G3" s="1056"/>
      <c r="H3" s="1056"/>
      <c r="I3" s="1056"/>
      <c r="J3" s="1056"/>
    </row>
    <row r="4" spans="1:10" ht="18.75" x14ac:dyDescent="0.2">
      <c r="A4" s="1197" t="s">
        <v>849</v>
      </c>
      <c r="B4" s="1197"/>
      <c r="C4" s="1197"/>
      <c r="D4" s="1197"/>
      <c r="E4" s="1197"/>
      <c r="F4" s="1197"/>
      <c r="G4" s="1197"/>
      <c r="H4" s="1197"/>
      <c r="I4" s="1197"/>
      <c r="J4" s="1197"/>
    </row>
    <row r="5" spans="1:10" ht="7.5" customHeight="1" x14ac:dyDescent="0.2"/>
    <row r="6" spans="1:10" ht="21" x14ac:dyDescent="0.2">
      <c r="A6" s="332" t="s">
        <v>590</v>
      </c>
      <c r="C6" s="131"/>
      <c r="D6" s="131"/>
      <c r="E6" s="131"/>
      <c r="F6" s="131"/>
      <c r="G6" s="131"/>
      <c r="H6" s="131"/>
      <c r="I6" s="1188"/>
      <c r="J6" s="1188"/>
    </row>
    <row r="7" spans="1:10" ht="21" customHeight="1" x14ac:dyDescent="0.2">
      <c r="A7" s="1190" t="s">
        <v>75</v>
      </c>
      <c r="B7" s="1190" t="s">
        <v>38</v>
      </c>
      <c r="C7" s="1190" t="s">
        <v>540</v>
      </c>
      <c r="D7" s="1190" t="s">
        <v>541</v>
      </c>
      <c r="E7" s="1191" t="s">
        <v>542</v>
      </c>
      <c r="F7" s="1190" t="s">
        <v>543</v>
      </c>
      <c r="G7" s="1190"/>
      <c r="H7" s="1190"/>
      <c r="I7" s="1190" t="s">
        <v>544</v>
      </c>
      <c r="J7" s="1191" t="s">
        <v>545</v>
      </c>
    </row>
    <row r="8" spans="1:10" ht="22.5" customHeight="1" x14ac:dyDescent="0.2">
      <c r="A8" s="1190"/>
      <c r="B8" s="1190"/>
      <c r="C8" s="1190"/>
      <c r="D8" s="1190"/>
      <c r="E8" s="1192"/>
      <c r="F8" s="1190" t="s">
        <v>546</v>
      </c>
      <c r="G8" s="1190" t="s">
        <v>547</v>
      </c>
      <c r="H8" s="1190" t="s">
        <v>548</v>
      </c>
      <c r="I8" s="1190"/>
      <c r="J8" s="1192"/>
    </row>
    <row r="9" spans="1:10" ht="27" customHeight="1" x14ac:dyDescent="0.2">
      <c r="A9" s="1190"/>
      <c r="B9" s="1190"/>
      <c r="C9" s="1190"/>
      <c r="D9" s="1190"/>
      <c r="E9" s="1192"/>
      <c r="F9" s="1190"/>
      <c r="G9" s="1190"/>
      <c r="H9" s="1190"/>
      <c r="I9" s="1190"/>
      <c r="J9" s="1192"/>
    </row>
    <row r="10" spans="1:10" ht="20.25" customHeight="1" x14ac:dyDescent="0.2">
      <c r="A10" s="1190"/>
      <c r="B10" s="1190"/>
      <c r="C10" s="1190"/>
      <c r="D10" s="1190"/>
      <c r="E10" s="1193"/>
      <c r="F10" s="1190"/>
      <c r="G10" s="1190"/>
      <c r="H10" s="1190"/>
      <c r="I10" s="1190"/>
      <c r="J10" s="1193"/>
    </row>
    <row r="11" spans="1:10" ht="15" x14ac:dyDescent="0.25">
      <c r="A11" s="311">
        <v>1</v>
      </c>
      <c r="B11" s="311">
        <v>2</v>
      </c>
      <c r="C11" s="132">
        <v>3</v>
      </c>
      <c r="D11" s="311">
        <v>4</v>
      </c>
      <c r="E11" s="132">
        <v>5</v>
      </c>
      <c r="F11" s="311">
        <v>6</v>
      </c>
      <c r="G11" s="132">
        <v>7</v>
      </c>
      <c r="H11" s="311">
        <v>8</v>
      </c>
      <c r="I11" s="132">
        <v>9</v>
      </c>
      <c r="J11" s="311">
        <v>10</v>
      </c>
    </row>
    <row r="12" spans="1:10" ht="19.5" customHeight="1" x14ac:dyDescent="0.2">
      <c r="A12" s="194">
        <v>1</v>
      </c>
      <c r="B12" s="225" t="s">
        <v>392</v>
      </c>
      <c r="C12" s="784"/>
      <c r="D12" s="784"/>
      <c r="E12" s="784"/>
      <c r="F12" s="784"/>
      <c r="G12" s="784"/>
      <c r="H12" s="784"/>
      <c r="I12" s="784"/>
      <c r="J12" s="784"/>
    </row>
    <row r="13" spans="1:10" ht="19.5" customHeight="1" x14ac:dyDescent="0.2">
      <c r="A13" s="194">
        <v>2</v>
      </c>
      <c r="B13" s="225" t="s">
        <v>393</v>
      </c>
      <c r="C13" s="784"/>
      <c r="D13" s="784"/>
      <c r="E13" s="784"/>
      <c r="F13" s="784"/>
      <c r="G13" s="784"/>
      <c r="H13" s="784"/>
      <c r="I13" s="784"/>
      <c r="J13" s="784"/>
    </row>
    <row r="14" spans="1:10" ht="19.5" customHeight="1" x14ac:dyDescent="0.2">
      <c r="A14" s="194">
        <v>3</v>
      </c>
      <c r="B14" s="225" t="s">
        <v>394</v>
      </c>
      <c r="C14" s="784"/>
      <c r="D14" s="784"/>
      <c r="E14" s="784"/>
      <c r="F14" s="784"/>
      <c r="G14" s="784"/>
      <c r="H14" s="784"/>
      <c r="I14" s="784"/>
      <c r="J14" s="784"/>
    </row>
    <row r="15" spans="1:10" ht="19.5" customHeight="1" x14ac:dyDescent="0.2">
      <c r="A15" s="194">
        <v>4</v>
      </c>
      <c r="B15" s="225" t="s">
        <v>395</v>
      </c>
      <c r="C15" s="784"/>
      <c r="D15" s="784"/>
      <c r="E15" s="784"/>
      <c r="F15" s="784"/>
      <c r="G15" s="784"/>
      <c r="H15" s="784"/>
      <c r="I15" s="784"/>
      <c r="J15" s="784"/>
    </row>
    <row r="16" spans="1:10" ht="19.5" customHeight="1" x14ac:dyDescent="0.2">
      <c r="A16" s="194">
        <v>5</v>
      </c>
      <c r="B16" s="227" t="s">
        <v>396</v>
      </c>
      <c r="C16" s="784"/>
      <c r="D16" s="784"/>
      <c r="E16" s="784"/>
      <c r="F16" s="784"/>
      <c r="G16" s="784"/>
      <c r="H16" s="784"/>
      <c r="I16" s="784"/>
      <c r="J16" s="784"/>
    </row>
    <row r="17" spans="1:10" ht="19.5" customHeight="1" x14ac:dyDescent="0.2">
      <c r="A17" s="194">
        <v>6</v>
      </c>
      <c r="B17" s="225" t="s">
        <v>397</v>
      </c>
      <c r="C17" s="784"/>
      <c r="D17" s="784"/>
      <c r="E17" s="784"/>
      <c r="F17" s="784"/>
      <c r="G17" s="784"/>
      <c r="H17" s="784"/>
      <c r="I17" s="784"/>
      <c r="J17" s="784"/>
    </row>
    <row r="18" spans="1:10" ht="19.5" customHeight="1" x14ac:dyDescent="0.2">
      <c r="A18" s="194">
        <v>7</v>
      </c>
      <c r="B18" s="227" t="s">
        <v>398</v>
      </c>
      <c r="C18" s="784"/>
      <c r="D18" s="784"/>
      <c r="E18" s="784"/>
      <c r="F18" s="784"/>
      <c r="G18" s="784"/>
      <c r="H18" s="784"/>
      <c r="I18" s="784"/>
      <c r="J18" s="784"/>
    </row>
    <row r="19" spans="1:10" ht="19.5" customHeight="1" x14ac:dyDescent="0.2">
      <c r="A19" s="194">
        <v>8</v>
      </c>
      <c r="B19" s="225" t="s">
        <v>399</v>
      </c>
      <c r="C19" s="784"/>
      <c r="D19" s="784"/>
      <c r="E19" s="784"/>
      <c r="F19" s="784"/>
      <c r="G19" s="784"/>
      <c r="H19" s="784"/>
      <c r="I19" s="784"/>
      <c r="J19" s="784"/>
    </row>
    <row r="20" spans="1:10" ht="19.5" customHeight="1" x14ac:dyDescent="0.2">
      <c r="A20" s="194">
        <v>9</v>
      </c>
      <c r="B20" s="225" t="s">
        <v>400</v>
      </c>
      <c r="C20" s="784"/>
      <c r="D20" s="784"/>
      <c r="E20" s="784"/>
      <c r="F20" s="784"/>
      <c r="G20" s="784"/>
      <c r="H20" s="784"/>
      <c r="I20" s="784"/>
      <c r="J20" s="784"/>
    </row>
    <row r="21" spans="1:10" ht="19.5" customHeight="1" x14ac:dyDescent="0.2">
      <c r="A21" s="194">
        <v>10</v>
      </c>
      <c r="B21" s="225" t="s">
        <v>401</v>
      </c>
      <c r="C21" s="784"/>
      <c r="D21" s="784"/>
      <c r="E21" s="784"/>
      <c r="F21" s="784"/>
      <c r="G21" s="784"/>
      <c r="H21" s="784"/>
      <c r="I21" s="784"/>
      <c r="J21" s="784"/>
    </row>
    <row r="22" spans="1:10" ht="33.75" customHeight="1" x14ac:dyDescent="0.2">
      <c r="A22" s="194">
        <v>11</v>
      </c>
      <c r="B22" s="225" t="s">
        <v>402</v>
      </c>
      <c r="C22" s="1194" t="s">
        <v>850</v>
      </c>
      <c r="D22" s="785">
        <v>24</v>
      </c>
      <c r="E22" s="785">
        <v>25000</v>
      </c>
      <c r="F22" s="785" t="s">
        <v>851</v>
      </c>
      <c r="G22" s="785" t="s">
        <v>851</v>
      </c>
      <c r="H22" s="785"/>
      <c r="I22" s="1198" t="s">
        <v>993</v>
      </c>
      <c r="J22" s="785">
        <v>25000</v>
      </c>
    </row>
    <row r="23" spans="1:10" ht="35.25" customHeight="1" x14ac:dyDescent="0.2">
      <c r="A23" s="194">
        <v>12</v>
      </c>
      <c r="B23" s="225" t="s">
        <v>403</v>
      </c>
      <c r="C23" s="1195"/>
      <c r="D23" s="785">
        <v>27</v>
      </c>
      <c r="E23" s="785">
        <v>25000</v>
      </c>
      <c r="F23" s="785" t="s">
        <v>851</v>
      </c>
      <c r="G23" s="785" t="s">
        <v>851</v>
      </c>
      <c r="H23" s="785"/>
      <c r="I23" s="1199"/>
      <c r="J23" s="785">
        <v>25000</v>
      </c>
    </row>
    <row r="24" spans="1:10" ht="22.5" customHeight="1" x14ac:dyDescent="0.2">
      <c r="A24" s="194">
        <v>13</v>
      </c>
      <c r="B24" s="225" t="s">
        <v>404</v>
      </c>
      <c r="C24" s="784"/>
      <c r="D24" s="784"/>
      <c r="E24" s="784"/>
      <c r="F24" s="784"/>
      <c r="G24" s="784"/>
      <c r="H24" s="784"/>
      <c r="I24" s="784"/>
      <c r="J24" s="784"/>
    </row>
    <row r="25" spans="1:10" ht="22.5" customHeight="1" x14ac:dyDescent="0.2">
      <c r="A25" s="232" t="s">
        <v>18</v>
      </c>
      <c r="B25" s="232"/>
      <c r="C25" s="6"/>
      <c r="D25" s="6"/>
      <c r="E25" s="6"/>
      <c r="F25" s="6"/>
      <c r="G25" s="6"/>
      <c r="H25" s="6"/>
      <c r="I25" s="6"/>
      <c r="J25" s="6"/>
    </row>
    <row r="28" spans="1:10" ht="25.5" customHeight="1" x14ac:dyDescent="0.2">
      <c r="A28" s="116"/>
      <c r="B28" s="116"/>
      <c r="C28" s="116"/>
      <c r="D28" s="116"/>
      <c r="E28" s="116"/>
    </row>
    <row r="29" spans="1:10" x14ac:dyDescent="0.2">
      <c r="A29" s="116"/>
      <c r="B29" s="116"/>
      <c r="C29" s="116"/>
      <c r="D29" s="116"/>
      <c r="E29" s="116"/>
    </row>
    <row r="30" spans="1:10" x14ac:dyDescent="0.2">
      <c r="A30" s="116"/>
      <c r="B30" s="116"/>
      <c r="C30" s="116"/>
      <c r="D30" s="116"/>
      <c r="E30" s="116"/>
      <c r="I30" s="1189" t="s">
        <v>12</v>
      </c>
      <c r="J30" s="1189"/>
    </row>
    <row r="31" spans="1:10" ht="12.75" customHeight="1" x14ac:dyDescent="0.2">
      <c r="A31" s="116" t="s">
        <v>11</v>
      </c>
      <c r="C31" s="116"/>
      <c r="D31" s="116"/>
      <c r="E31" s="116"/>
      <c r="I31" s="1187" t="s">
        <v>13</v>
      </c>
      <c r="J31" s="1187"/>
    </row>
    <row r="32" spans="1:10" ht="12.75" customHeight="1" x14ac:dyDescent="0.2">
      <c r="I32" s="1187" t="s">
        <v>88</v>
      </c>
      <c r="J32" s="1187"/>
    </row>
    <row r="33" spans="9:9" x14ac:dyDescent="0.2">
      <c r="I33" s="118" t="s">
        <v>85</v>
      </c>
    </row>
  </sheetData>
  <mergeCells count="21">
    <mergeCell ref="C22:C23"/>
    <mergeCell ref="I1:J1"/>
    <mergeCell ref="A7:A10"/>
    <mergeCell ref="B7:B10"/>
    <mergeCell ref="C7:C10"/>
    <mergeCell ref="D7:D10"/>
    <mergeCell ref="E7:E10"/>
    <mergeCell ref="F7:H7"/>
    <mergeCell ref="F8:F10"/>
    <mergeCell ref="G8:G10"/>
    <mergeCell ref="H8:H10"/>
    <mergeCell ref="A2:J2"/>
    <mergeCell ref="A3:J3"/>
    <mergeCell ref="A4:J4"/>
    <mergeCell ref="I22:I23"/>
    <mergeCell ref="I31:J31"/>
    <mergeCell ref="I32:J32"/>
    <mergeCell ref="I6:J6"/>
    <mergeCell ref="I30:J30"/>
    <mergeCell ref="I7:I10"/>
    <mergeCell ref="J7:J10"/>
  </mergeCells>
  <printOptions horizontalCentered="1"/>
  <pageMargins left="0.34" right="0.36" top="0.3" bottom="0.35" header="0.17" footer="0.16"/>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pageSetUpPr fitToPage="1"/>
  </sheetPr>
  <dimension ref="A1:T63"/>
  <sheetViews>
    <sheetView view="pageBreakPreview" zoomScale="92" zoomScaleSheetLayoutView="92" workbookViewId="0">
      <selection activeCell="N16" sqref="N16"/>
    </sheetView>
  </sheetViews>
  <sheetFormatPr defaultRowHeight="12.75" x14ac:dyDescent="0.2"/>
  <cols>
    <col min="1" max="4" width="11.7109375" style="11" customWidth="1"/>
    <col min="5" max="5" width="12.42578125" style="11" customWidth="1"/>
    <col min="6" max="6" width="8.7109375" style="11" customWidth="1"/>
    <col min="7" max="7" width="10.7109375" style="11" customWidth="1"/>
    <col min="8" max="8" width="11.7109375" style="11" customWidth="1"/>
    <col min="9" max="15" width="8.5703125" style="11" customWidth="1"/>
    <col min="16" max="16" width="8.42578125" style="11" customWidth="1"/>
    <col min="17" max="19" width="8.5703125" style="11" customWidth="1"/>
    <col min="20" max="20" width="13.85546875" style="11" customWidth="1"/>
    <col min="21" max="16384" width="9.140625" style="11"/>
  </cols>
  <sheetData>
    <row r="1" spans="1:20" x14ac:dyDescent="0.2">
      <c r="A1" s="11" t="s">
        <v>10</v>
      </c>
      <c r="H1" s="985"/>
      <c r="I1" s="985"/>
      <c r="R1" s="988" t="s">
        <v>58</v>
      </c>
      <c r="S1" s="988"/>
      <c r="T1" s="988"/>
    </row>
    <row r="2" spans="1:20" s="10" customFormat="1" ht="16.5" x14ac:dyDescent="0.25">
      <c r="A2" s="986" t="s">
        <v>0</v>
      </c>
      <c r="B2" s="986"/>
      <c r="C2" s="986"/>
      <c r="D2" s="986"/>
      <c r="E2" s="986"/>
      <c r="F2" s="986"/>
      <c r="G2" s="986"/>
      <c r="H2" s="986"/>
      <c r="I2" s="986"/>
      <c r="J2" s="986"/>
      <c r="K2" s="986"/>
      <c r="L2" s="986"/>
      <c r="M2" s="986"/>
      <c r="N2" s="986"/>
      <c r="O2" s="986"/>
      <c r="P2" s="986"/>
      <c r="Q2" s="986"/>
      <c r="R2" s="986"/>
      <c r="S2" s="986"/>
      <c r="T2" s="986"/>
    </row>
    <row r="3" spans="1:20" s="10" customFormat="1" ht="20.25" customHeight="1" x14ac:dyDescent="0.25">
      <c r="A3" s="986" t="s">
        <v>794</v>
      </c>
      <c r="B3" s="986"/>
      <c r="C3" s="986"/>
      <c r="D3" s="986"/>
      <c r="E3" s="986"/>
      <c r="F3" s="986"/>
      <c r="G3" s="986"/>
      <c r="H3" s="986"/>
      <c r="I3" s="986"/>
      <c r="J3" s="986"/>
      <c r="K3" s="986"/>
      <c r="L3" s="986"/>
      <c r="M3" s="986"/>
      <c r="N3" s="986"/>
      <c r="O3" s="986"/>
      <c r="P3" s="986"/>
      <c r="Q3" s="986"/>
      <c r="R3" s="986"/>
      <c r="S3" s="986"/>
      <c r="T3" s="986"/>
    </row>
    <row r="4" spans="1:20" s="10" customFormat="1" ht="18" x14ac:dyDescent="0.25">
      <c r="A4" s="987" t="s">
        <v>907</v>
      </c>
      <c r="B4" s="987"/>
      <c r="C4" s="987"/>
      <c r="D4" s="987"/>
      <c r="E4" s="987"/>
      <c r="F4" s="987"/>
      <c r="G4" s="987"/>
      <c r="H4" s="987"/>
      <c r="I4" s="987"/>
      <c r="J4" s="987"/>
      <c r="K4" s="987"/>
      <c r="L4" s="987"/>
      <c r="M4" s="987"/>
      <c r="N4" s="987"/>
      <c r="O4" s="987"/>
      <c r="P4" s="987"/>
      <c r="Q4" s="987"/>
      <c r="R4" s="987"/>
      <c r="S4" s="987"/>
      <c r="T4" s="987"/>
    </row>
    <row r="5" spans="1:20" ht="15" x14ac:dyDescent="0.25">
      <c r="A5" s="990" t="s">
        <v>463</v>
      </c>
      <c r="B5" s="990"/>
      <c r="C5" s="990"/>
      <c r="D5" s="39"/>
      <c r="E5" s="39"/>
      <c r="F5" s="39"/>
      <c r="G5" s="39"/>
      <c r="H5" s="39"/>
      <c r="I5" s="39"/>
      <c r="J5" s="39"/>
      <c r="K5" s="39"/>
      <c r="L5" s="39"/>
      <c r="M5" s="39"/>
      <c r="N5" s="39"/>
      <c r="O5" s="39"/>
      <c r="P5" s="39"/>
      <c r="Q5" s="39"/>
      <c r="R5" s="39"/>
      <c r="S5" s="39"/>
      <c r="T5" s="39"/>
    </row>
    <row r="6" spans="1:20" ht="15" x14ac:dyDescent="0.25">
      <c r="A6" s="989" t="s">
        <v>184</v>
      </c>
      <c r="B6" s="989"/>
      <c r="C6" s="989"/>
      <c r="D6" s="989"/>
      <c r="E6" s="989"/>
      <c r="F6" s="989"/>
      <c r="G6" s="989"/>
      <c r="H6" s="989"/>
      <c r="I6" s="989"/>
      <c r="J6" s="39"/>
      <c r="K6" s="39"/>
      <c r="L6" s="39"/>
      <c r="M6" s="39"/>
      <c r="N6" s="39"/>
      <c r="O6" s="39"/>
      <c r="P6" s="39"/>
      <c r="Q6" s="39"/>
      <c r="R6" s="440"/>
      <c r="S6" s="440"/>
      <c r="T6" s="39"/>
    </row>
    <row r="7" spans="1:20" ht="15" x14ac:dyDescent="0.25">
      <c r="A7" s="39"/>
      <c r="B7" s="39"/>
      <c r="C7" s="39"/>
      <c r="D7" s="39"/>
      <c r="E7" s="39"/>
      <c r="F7" s="39"/>
      <c r="G7" s="39"/>
      <c r="H7" s="39"/>
      <c r="I7" s="39"/>
      <c r="J7" s="39"/>
      <c r="K7" s="39"/>
      <c r="L7" s="39"/>
      <c r="M7" s="39"/>
      <c r="N7" s="39"/>
      <c r="O7" s="39"/>
      <c r="P7" s="39"/>
      <c r="Q7" s="39"/>
      <c r="R7" s="39"/>
      <c r="S7" s="39"/>
      <c r="T7" s="39"/>
    </row>
    <row r="8" spans="1:20" ht="18" customHeight="1" x14ac:dyDescent="0.25">
      <c r="A8" s="198"/>
      <c r="B8" s="960" t="s">
        <v>44</v>
      </c>
      <c r="C8" s="960"/>
      <c r="D8" s="960" t="s">
        <v>45</v>
      </c>
      <c r="E8" s="960"/>
      <c r="F8" s="960" t="s">
        <v>46</v>
      </c>
      <c r="G8" s="960"/>
      <c r="H8" s="959" t="s">
        <v>47</v>
      </c>
      <c r="I8" s="959"/>
      <c r="J8" s="960" t="s">
        <v>48</v>
      </c>
      <c r="K8" s="960"/>
      <c r="L8" s="259" t="s">
        <v>18</v>
      </c>
      <c r="M8" s="39"/>
      <c r="N8" s="39"/>
      <c r="O8" s="39"/>
      <c r="P8" s="39"/>
      <c r="Q8" s="39"/>
      <c r="R8" s="39"/>
      <c r="S8" s="39"/>
      <c r="T8" s="39"/>
    </row>
    <row r="9" spans="1:20" s="50" customFormat="1" ht="13.5" customHeight="1" x14ac:dyDescent="0.2">
      <c r="A9" s="441">
        <v>1</v>
      </c>
      <c r="B9" s="984">
        <v>2</v>
      </c>
      <c r="C9" s="984"/>
      <c r="D9" s="984">
        <v>3</v>
      </c>
      <c r="E9" s="984"/>
      <c r="F9" s="984">
        <v>4</v>
      </c>
      <c r="G9" s="984"/>
      <c r="H9" s="984">
        <v>5</v>
      </c>
      <c r="I9" s="984"/>
      <c r="J9" s="984">
        <v>6</v>
      </c>
      <c r="K9" s="984"/>
      <c r="L9" s="441">
        <v>7</v>
      </c>
      <c r="M9" s="442"/>
      <c r="N9" s="442"/>
      <c r="O9" s="442"/>
      <c r="P9" s="442"/>
      <c r="Q9" s="442"/>
      <c r="R9" s="442"/>
      <c r="S9" s="442"/>
      <c r="T9" s="442"/>
    </row>
    <row r="10" spans="1:20" ht="20.100000000000001" customHeight="1" x14ac:dyDescent="0.25">
      <c r="A10" s="197" t="s">
        <v>49</v>
      </c>
      <c r="B10" s="973">
        <v>45</v>
      </c>
      <c r="C10" s="973"/>
      <c r="D10" s="973">
        <v>17</v>
      </c>
      <c r="E10" s="973"/>
      <c r="F10" s="973">
        <v>28</v>
      </c>
      <c r="G10" s="973"/>
      <c r="H10" s="973">
        <v>1</v>
      </c>
      <c r="I10" s="973"/>
      <c r="J10" s="973">
        <v>178</v>
      </c>
      <c r="K10" s="973"/>
      <c r="L10" s="205">
        <f>B10+D10+F10+H10+J10</f>
        <v>269</v>
      </c>
      <c r="M10" s="39"/>
      <c r="N10" s="39"/>
      <c r="O10" s="39"/>
      <c r="P10" s="39"/>
      <c r="Q10" s="39"/>
      <c r="R10" s="39"/>
      <c r="S10" s="39"/>
      <c r="T10" s="39"/>
    </row>
    <row r="11" spans="1:20" ht="20.100000000000001" customHeight="1" x14ac:dyDescent="0.25">
      <c r="A11" s="197" t="s">
        <v>50</v>
      </c>
      <c r="B11" s="973">
        <v>3352</v>
      </c>
      <c r="C11" s="973"/>
      <c r="D11" s="973">
        <v>1260</v>
      </c>
      <c r="E11" s="973"/>
      <c r="F11" s="973">
        <v>5076</v>
      </c>
      <c r="G11" s="973"/>
      <c r="H11" s="973">
        <v>657</v>
      </c>
      <c r="I11" s="973"/>
      <c r="J11" s="973">
        <v>16761</v>
      </c>
      <c r="K11" s="973"/>
      <c r="L11" s="205">
        <f>B11+D11+F11+H11+J11</f>
        <v>27106</v>
      </c>
      <c r="M11" s="39"/>
      <c r="N11" s="39"/>
      <c r="O11" s="39"/>
      <c r="P11" s="39"/>
      <c r="Q11" s="39"/>
      <c r="R11" s="39"/>
      <c r="S11" s="39"/>
      <c r="T11" s="39"/>
    </row>
    <row r="12" spans="1:20" ht="15" x14ac:dyDescent="0.25">
      <c r="A12" s="197" t="s">
        <v>18</v>
      </c>
      <c r="B12" s="959">
        <f>B10+B11</f>
        <v>3397</v>
      </c>
      <c r="C12" s="959"/>
      <c r="D12" s="959">
        <f>D10+D11</f>
        <v>1277</v>
      </c>
      <c r="E12" s="959"/>
      <c r="F12" s="959">
        <f>F10+F11</f>
        <v>5104</v>
      </c>
      <c r="G12" s="959"/>
      <c r="H12" s="959">
        <f>H10+H11</f>
        <v>658</v>
      </c>
      <c r="I12" s="959"/>
      <c r="J12" s="959">
        <f>J10+J11</f>
        <v>16939</v>
      </c>
      <c r="K12" s="959"/>
      <c r="L12" s="197">
        <f>B12+D12+F12+H12+J12</f>
        <v>27375</v>
      </c>
      <c r="M12" s="39"/>
      <c r="N12" s="39"/>
      <c r="O12" s="39"/>
      <c r="P12" s="39"/>
      <c r="Q12" s="39"/>
      <c r="R12" s="39"/>
      <c r="S12" s="39"/>
      <c r="T12" s="39"/>
    </row>
    <row r="13" spans="1:20" ht="15" x14ac:dyDescent="0.25">
      <c r="A13" s="443"/>
      <c r="B13" s="443"/>
      <c r="C13" s="443"/>
      <c r="D13" s="443"/>
      <c r="E13" s="443"/>
      <c r="F13" s="443"/>
      <c r="G13" s="443"/>
      <c r="H13" s="443"/>
      <c r="I13" s="443"/>
      <c r="J13" s="443"/>
      <c r="K13" s="443"/>
      <c r="L13" s="443"/>
      <c r="M13" s="39"/>
      <c r="N13" s="39"/>
      <c r="O13" s="39"/>
      <c r="P13" s="39"/>
      <c r="Q13" s="39"/>
      <c r="R13" s="39"/>
      <c r="S13" s="39"/>
      <c r="T13" s="39"/>
    </row>
    <row r="14" spans="1:20" ht="15" x14ac:dyDescent="0.25">
      <c r="A14" s="991" t="s">
        <v>487</v>
      </c>
      <c r="B14" s="991"/>
      <c r="C14" s="991"/>
      <c r="D14" s="991"/>
      <c r="E14" s="991"/>
      <c r="F14" s="991"/>
      <c r="G14" s="991"/>
      <c r="H14" s="443"/>
      <c r="I14" s="443"/>
      <c r="J14" s="443"/>
      <c r="K14" s="443"/>
      <c r="L14" s="443"/>
      <c r="M14" s="39"/>
      <c r="N14" s="39"/>
      <c r="O14" s="39"/>
      <c r="P14" s="39"/>
      <c r="Q14" s="39"/>
      <c r="R14" s="39"/>
      <c r="S14" s="39"/>
      <c r="T14" s="39"/>
    </row>
    <row r="15" spans="1:20" ht="15" x14ac:dyDescent="0.25">
      <c r="A15" s="995" t="s">
        <v>488</v>
      </c>
      <c r="B15" s="996"/>
      <c r="C15" s="992" t="s">
        <v>223</v>
      </c>
      <c r="D15" s="992"/>
      <c r="E15" s="444" t="s">
        <v>18</v>
      </c>
      <c r="F15" s="39"/>
      <c r="G15" s="39"/>
      <c r="H15" s="443"/>
      <c r="I15" s="443"/>
      <c r="J15" s="443"/>
      <c r="K15" s="443"/>
      <c r="L15" s="443"/>
      <c r="M15" s="39"/>
      <c r="N15" s="39"/>
      <c r="O15" s="39"/>
      <c r="P15" s="39"/>
      <c r="Q15" s="39"/>
      <c r="R15" s="39"/>
      <c r="S15" s="39"/>
      <c r="T15" s="39"/>
    </row>
    <row r="16" spans="1:20" ht="15" x14ac:dyDescent="0.25">
      <c r="A16" s="993" t="s">
        <v>603</v>
      </c>
      <c r="B16" s="994"/>
      <c r="C16" s="993" t="s">
        <v>667</v>
      </c>
      <c r="D16" s="994"/>
      <c r="E16" s="445" t="s">
        <v>668</v>
      </c>
      <c r="F16" s="39"/>
      <c r="G16" s="39"/>
      <c r="H16" s="443"/>
      <c r="I16" s="443"/>
      <c r="J16" s="443"/>
      <c r="K16" s="443"/>
      <c r="L16" s="443"/>
      <c r="M16" s="39"/>
      <c r="N16" s="39"/>
      <c r="O16" s="39"/>
      <c r="P16" s="39"/>
      <c r="Q16" s="39"/>
      <c r="R16" s="39"/>
      <c r="S16" s="39"/>
      <c r="T16" s="39"/>
    </row>
    <row r="17" spans="1:20" ht="15" x14ac:dyDescent="0.25">
      <c r="A17" s="39"/>
      <c r="B17" s="39"/>
      <c r="C17" s="39"/>
      <c r="D17" s="39"/>
      <c r="E17" s="39"/>
      <c r="F17" s="39"/>
      <c r="G17" s="39"/>
      <c r="H17" s="39"/>
      <c r="I17" s="39"/>
      <c r="J17" s="39"/>
      <c r="K17" s="39"/>
      <c r="L17" s="39"/>
      <c r="M17" s="39"/>
      <c r="N17" s="39"/>
      <c r="O17" s="39"/>
      <c r="P17" s="39"/>
      <c r="Q17" s="39"/>
      <c r="R17" s="39"/>
      <c r="S17" s="39"/>
      <c r="T17" s="39"/>
    </row>
    <row r="18" spans="1:20" ht="19.149999999999999" customHeight="1" x14ac:dyDescent="0.2">
      <c r="A18" s="454" t="s">
        <v>185</v>
      </c>
      <c r="B18" s="446"/>
      <c r="C18" s="446"/>
      <c r="D18" s="446"/>
      <c r="E18" s="446"/>
      <c r="F18" s="446"/>
      <c r="G18" s="446"/>
      <c r="H18" s="446"/>
      <c r="I18" s="446"/>
      <c r="J18" s="446"/>
      <c r="K18" s="446"/>
      <c r="L18" s="446"/>
      <c r="M18" s="446"/>
      <c r="N18" s="446"/>
      <c r="O18" s="446"/>
      <c r="P18" s="446"/>
      <c r="Q18" s="446"/>
      <c r="R18" s="446"/>
      <c r="S18" s="446"/>
      <c r="T18" s="447"/>
    </row>
    <row r="19" spans="1:20" ht="15" x14ac:dyDescent="0.2">
      <c r="A19" s="960" t="s">
        <v>25</v>
      </c>
      <c r="B19" s="960" t="s">
        <v>51</v>
      </c>
      <c r="C19" s="960"/>
      <c r="D19" s="960"/>
      <c r="E19" s="959" t="s">
        <v>26</v>
      </c>
      <c r="F19" s="959"/>
      <c r="G19" s="959"/>
      <c r="H19" s="959"/>
      <c r="I19" s="959"/>
      <c r="J19" s="959"/>
      <c r="K19" s="959"/>
      <c r="L19" s="959"/>
      <c r="M19" s="959" t="s">
        <v>27</v>
      </c>
      <c r="N19" s="959"/>
      <c r="O19" s="959"/>
      <c r="P19" s="959"/>
      <c r="Q19" s="959"/>
      <c r="R19" s="959"/>
      <c r="S19" s="959"/>
      <c r="T19" s="959"/>
    </row>
    <row r="20" spans="1:20" ht="33.75" customHeight="1" x14ac:dyDescent="0.2">
      <c r="A20" s="960"/>
      <c r="B20" s="960"/>
      <c r="C20" s="960"/>
      <c r="D20" s="960"/>
      <c r="E20" s="960" t="s">
        <v>145</v>
      </c>
      <c r="F20" s="960"/>
      <c r="G20" s="960" t="s">
        <v>186</v>
      </c>
      <c r="H20" s="960"/>
      <c r="I20" s="960" t="s">
        <v>52</v>
      </c>
      <c r="J20" s="960"/>
      <c r="K20" s="960" t="s">
        <v>100</v>
      </c>
      <c r="L20" s="960"/>
      <c r="M20" s="960" t="s">
        <v>101</v>
      </c>
      <c r="N20" s="960"/>
      <c r="O20" s="960" t="s">
        <v>186</v>
      </c>
      <c r="P20" s="960"/>
      <c r="Q20" s="960" t="s">
        <v>52</v>
      </c>
      <c r="R20" s="960"/>
      <c r="S20" s="960" t="s">
        <v>100</v>
      </c>
      <c r="T20" s="960"/>
    </row>
    <row r="21" spans="1:20" s="50" customFormat="1" ht="12.75" customHeight="1" x14ac:dyDescent="0.2">
      <c r="A21" s="441">
        <v>1</v>
      </c>
      <c r="B21" s="984">
        <v>2</v>
      </c>
      <c r="C21" s="984"/>
      <c r="D21" s="984"/>
      <c r="E21" s="984">
        <v>3</v>
      </c>
      <c r="F21" s="984"/>
      <c r="G21" s="984">
        <v>4</v>
      </c>
      <c r="H21" s="984"/>
      <c r="I21" s="984">
        <v>5</v>
      </c>
      <c r="J21" s="984"/>
      <c r="K21" s="984">
        <v>6</v>
      </c>
      <c r="L21" s="984"/>
      <c r="M21" s="984">
        <v>3</v>
      </c>
      <c r="N21" s="984"/>
      <c r="O21" s="984">
        <v>4</v>
      </c>
      <c r="P21" s="984"/>
      <c r="Q21" s="984">
        <v>5</v>
      </c>
      <c r="R21" s="984"/>
      <c r="S21" s="984">
        <v>6</v>
      </c>
      <c r="T21" s="984"/>
    </row>
    <row r="22" spans="1:20" ht="20.100000000000001" customHeight="1" x14ac:dyDescent="0.2">
      <c r="A22" s="197">
        <v>1</v>
      </c>
      <c r="B22" s="983" t="s">
        <v>53</v>
      </c>
      <c r="C22" s="983"/>
      <c r="D22" s="983"/>
      <c r="E22" s="973">
        <v>100</v>
      </c>
      <c r="F22" s="973"/>
      <c r="G22" s="959" t="s">
        <v>389</v>
      </c>
      <c r="H22" s="959"/>
      <c r="I22" s="973">
        <v>450</v>
      </c>
      <c r="J22" s="973"/>
      <c r="K22" s="973">
        <v>12</v>
      </c>
      <c r="L22" s="973"/>
      <c r="M22" s="973">
        <v>150</v>
      </c>
      <c r="N22" s="973"/>
      <c r="O22" s="959" t="s">
        <v>389</v>
      </c>
      <c r="P22" s="959"/>
      <c r="Q22" s="973">
        <v>700</v>
      </c>
      <c r="R22" s="973"/>
      <c r="S22" s="973">
        <v>20</v>
      </c>
      <c r="T22" s="973"/>
    </row>
    <row r="23" spans="1:20" ht="20.100000000000001" customHeight="1" x14ac:dyDescent="0.2">
      <c r="A23" s="197">
        <v>2</v>
      </c>
      <c r="B23" s="974" t="s">
        <v>54</v>
      </c>
      <c r="C23" s="974"/>
      <c r="D23" s="974"/>
      <c r="E23" s="973">
        <v>20</v>
      </c>
      <c r="F23" s="973"/>
      <c r="G23" s="972">
        <v>1.26</v>
      </c>
      <c r="H23" s="972"/>
      <c r="I23" s="973"/>
      <c r="J23" s="973"/>
      <c r="K23" s="973"/>
      <c r="L23" s="973"/>
      <c r="M23" s="973">
        <v>30</v>
      </c>
      <c r="N23" s="973"/>
      <c r="O23" s="972">
        <v>1.9</v>
      </c>
      <c r="P23" s="972"/>
      <c r="Q23" s="973"/>
      <c r="R23" s="973"/>
      <c r="S23" s="973"/>
      <c r="T23" s="973"/>
    </row>
    <row r="24" spans="1:20" ht="20.100000000000001" customHeight="1" x14ac:dyDescent="0.2">
      <c r="A24" s="197">
        <v>3</v>
      </c>
      <c r="B24" s="974" t="s">
        <v>187</v>
      </c>
      <c r="C24" s="974"/>
      <c r="D24" s="974"/>
      <c r="E24" s="973">
        <v>50</v>
      </c>
      <c r="F24" s="973"/>
      <c r="G24" s="972">
        <v>0.95</v>
      </c>
      <c r="H24" s="972"/>
      <c r="I24" s="973"/>
      <c r="J24" s="973"/>
      <c r="K24" s="973"/>
      <c r="L24" s="973"/>
      <c r="M24" s="973">
        <v>75</v>
      </c>
      <c r="N24" s="973"/>
      <c r="O24" s="972">
        <v>1.43</v>
      </c>
      <c r="P24" s="972"/>
      <c r="Q24" s="973"/>
      <c r="R24" s="973"/>
      <c r="S24" s="973"/>
      <c r="T24" s="973"/>
    </row>
    <row r="25" spans="1:20" ht="20.100000000000001" customHeight="1" x14ac:dyDescent="0.2">
      <c r="A25" s="197">
        <v>4</v>
      </c>
      <c r="B25" s="974" t="s">
        <v>55</v>
      </c>
      <c r="C25" s="974"/>
      <c r="D25" s="974"/>
      <c r="E25" s="973">
        <v>5</v>
      </c>
      <c r="F25" s="973"/>
      <c r="G25" s="972">
        <v>0.6</v>
      </c>
      <c r="H25" s="972"/>
      <c r="I25" s="973"/>
      <c r="J25" s="973"/>
      <c r="K25" s="973"/>
      <c r="L25" s="973"/>
      <c r="M25" s="973">
        <v>7.5</v>
      </c>
      <c r="N25" s="973"/>
      <c r="O25" s="972">
        <v>0.9</v>
      </c>
      <c r="P25" s="972"/>
      <c r="Q25" s="973"/>
      <c r="R25" s="973"/>
      <c r="S25" s="973"/>
      <c r="T25" s="973"/>
    </row>
    <row r="26" spans="1:20" ht="20.100000000000001" customHeight="1" x14ac:dyDescent="0.2">
      <c r="A26" s="197">
        <v>5</v>
      </c>
      <c r="B26" s="974" t="s">
        <v>56</v>
      </c>
      <c r="C26" s="974"/>
      <c r="D26" s="974"/>
      <c r="E26" s="973" t="s">
        <v>390</v>
      </c>
      <c r="F26" s="973"/>
      <c r="G26" s="972">
        <v>0.73</v>
      </c>
      <c r="H26" s="972"/>
      <c r="I26" s="973"/>
      <c r="J26" s="973"/>
      <c r="K26" s="973"/>
      <c r="L26" s="973"/>
      <c r="M26" s="973" t="s">
        <v>390</v>
      </c>
      <c r="N26" s="973"/>
      <c r="O26" s="972">
        <v>0.87</v>
      </c>
      <c r="P26" s="972"/>
      <c r="Q26" s="973"/>
      <c r="R26" s="973"/>
      <c r="S26" s="973"/>
      <c r="T26" s="973"/>
    </row>
    <row r="27" spans="1:20" ht="20.100000000000001" customHeight="1" x14ac:dyDescent="0.2">
      <c r="A27" s="197">
        <v>6</v>
      </c>
      <c r="B27" s="974" t="s">
        <v>57</v>
      </c>
      <c r="C27" s="974"/>
      <c r="D27" s="974"/>
      <c r="E27" s="973"/>
      <c r="F27" s="973"/>
      <c r="G27" s="972">
        <v>0.59</v>
      </c>
      <c r="H27" s="972"/>
      <c r="I27" s="973"/>
      <c r="J27" s="973"/>
      <c r="K27" s="973"/>
      <c r="L27" s="973"/>
      <c r="M27" s="973"/>
      <c r="N27" s="973"/>
      <c r="O27" s="972">
        <v>1.08</v>
      </c>
      <c r="P27" s="972"/>
      <c r="Q27" s="973"/>
      <c r="R27" s="973"/>
      <c r="S27" s="973"/>
      <c r="T27" s="973"/>
    </row>
    <row r="28" spans="1:20" ht="20.100000000000001" customHeight="1" x14ac:dyDescent="0.2">
      <c r="A28" s="197">
        <v>7</v>
      </c>
      <c r="B28" s="974" t="s">
        <v>188</v>
      </c>
      <c r="C28" s="974"/>
      <c r="D28" s="974"/>
      <c r="E28" s="973"/>
      <c r="F28" s="973"/>
      <c r="G28" s="973">
        <v>0</v>
      </c>
      <c r="H28" s="973"/>
      <c r="I28" s="973"/>
      <c r="J28" s="973"/>
      <c r="K28" s="973"/>
      <c r="L28" s="973"/>
      <c r="M28" s="973"/>
      <c r="N28" s="973"/>
      <c r="O28" s="973">
        <v>0</v>
      </c>
      <c r="P28" s="973"/>
      <c r="Q28" s="973"/>
      <c r="R28" s="973"/>
      <c r="S28" s="973"/>
      <c r="T28" s="973"/>
    </row>
    <row r="29" spans="1:20" ht="15" x14ac:dyDescent="0.2">
      <c r="A29" s="197"/>
      <c r="B29" s="960" t="s">
        <v>18</v>
      </c>
      <c r="C29" s="960"/>
      <c r="D29" s="960"/>
      <c r="E29" s="959"/>
      <c r="F29" s="959"/>
      <c r="G29" s="975">
        <f>G23+G24+G25+G26+G27+G28</f>
        <v>4.13</v>
      </c>
      <c r="H29" s="959"/>
      <c r="I29" s="959"/>
      <c r="J29" s="959"/>
      <c r="K29" s="959"/>
      <c r="L29" s="959"/>
      <c r="M29" s="959"/>
      <c r="N29" s="959"/>
      <c r="O29" s="975">
        <f>O23+O24+O25+O26+O27+O28</f>
        <v>6.1800000000000006</v>
      </c>
      <c r="P29" s="959"/>
      <c r="Q29" s="959"/>
      <c r="R29" s="959"/>
      <c r="S29" s="959"/>
      <c r="T29" s="959"/>
    </row>
    <row r="30" spans="1:20" ht="15" x14ac:dyDescent="0.25">
      <c r="A30" s="448"/>
      <c r="B30" s="449"/>
      <c r="C30" s="449"/>
      <c r="D30" s="449"/>
      <c r="E30" s="295"/>
      <c r="F30" s="295"/>
      <c r="G30" s="295"/>
      <c r="H30" s="295"/>
      <c r="I30" s="295"/>
      <c r="J30" s="295"/>
      <c r="K30" s="295"/>
      <c r="L30" s="295"/>
      <c r="M30" s="295"/>
      <c r="N30" s="295"/>
      <c r="O30" s="295"/>
      <c r="P30" s="295"/>
      <c r="Q30" s="295"/>
      <c r="R30" s="295"/>
      <c r="S30" s="295"/>
      <c r="T30" s="295"/>
    </row>
    <row r="31" spans="1:20" ht="15" x14ac:dyDescent="0.25">
      <c r="A31" s="450" t="s">
        <v>489</v>
      </c>
      <c r="B31" s="976" t="s">
        <v>490</v>
      </c>
      <c r="C31" s="976"/>
      <c r="D31" s="976"/>
      <c r="E31" s="976"/>
      <c r="F31" s="976"/>
      <c r="G31" s="976"/>
      <c r="H31" s="976"/>
      <c r="I31" s="295"/>
      <c r="J31" s="295"/>
      <c r="K31" s="295"/>
      <c r="L31" s="295"/>
      <c r="M31" s="295"/>
      <c r="N31" s="295"/>
      <c r="O31" s="295"/>
      <c r="P31" s="295"/>
      <c r="Q31" s="295"/>
      <c r="R31" s="295"/>
      <c r="S31" s="295"/>
      <c r="T31" s="295"/>
    </row>
    <row r="32" spans="1:20" ht="15" x14ac:dyDescent="0.25">
      <c r="A32" s="450"/>
      <c r="B32" s="449"/>
      <c r="C32" s="449"/>
      <c r="D32" s="449"/>
      <c r="E32" s="295"/>
      <c r="F32" s="295"/>
      <c r="G32" s="295"/>
      <c r="H32" s="295"/>
      <c r="I32" s="295"/>
      <c r="J32" s="295"/>
      <c r="K32" s="295"/>
      <c r="L32" s="295"/>
      <c r="M32" s="295"/>
      <c r="N32" s="295"/>
      <c r="O32" s="295"/>
      <c r="P32" s="295"/>
      <c r="Q32" s="295"/>
      <c r="R32" s="295"/>
      <c r="S32" s="295"/>
      <c r="T32" s="295"/>
    </row>
    <row r="33" spans="1:20" ht="15" x14ac:dyDescent="0.25">
      <c r="A33" s="961" t="s">
        <v>25</v>
      </c>
      <c r="B33" s="977" t="s">
        <v>491</v>
      </c>
      <c r="C33" s="978"/>
      <c r="D33" s="979"/>
      <c r="E33" s="963" t="s">
        <v>26</v>
      </c>
      <c r="F33" s="964"/>
      <c r="G33" s="964"/>
      <c r="H33" s="964"/>
      <c r="I33" s="964"/>
      <c r="J33" s="965"/>
      <c r="K33" s="950" t="s">
        <v>27</v>
      </c>
      <c r="L33" s="950"/>
      <c r="M33" s="950"/>
      <c r="N33" s="950"/>
      <c r="O33" s="950"/>
      <c r="P33" s="950"/>
      <c r="Q33" s="295"/>
      <c r="R33" s="295"/>
      <c r="S33" s="295"/>
      <c r="T33" s="295"/>
    </row>
    <row r="34" spans="1:20" ht="15" x14ac:dyDescent="0.25">
      <c r="A34" s="962"/>
      <c r="B34" s="980"/>
      <c r="C34" s="981"/>
      <c r="D34" s="982"/>
      <c r="E34" s="951" t="s">
        <v>492</v>
      </c>
      <c r="F34" s="953"/>
      <c r="G34" s="951" t="s">
        <v>493</v>
      </c>
      <c r="H34" s="953"/>
      <c r="I34" s="951" t="s">
        <v>494</v>
      </c>
      <c r="J34" s="953"/>
      <c r="K34" s="950" t="s">
        <v>492</v>
      </c>
      <c r="L34" s="950"/>
      <c r="M34" s="950" t="s">
        <v>493</v>
      </c>
      <c r="N34" s="950"/>
      <c r="O34" s="950" t="s">
        <v>494</v>
      </c>
      <c r="P34" s="950"/>
      <c r="Q34" s="295"/>
      <c r="R34" s="295"/>
      <c r="S34" s="295"/>
      <c r="T34" s="295"/>
    </row>
    <row r="35" spans="1:20" ht="40.5" customHeight="1" x14ac:dyDescent="0.25">
      <c r="A35" s="451">
        <v>1</v>
      </c>
      <c r="B35" s="969" t="s">
        <v>739</v>
      </c>
      <c r="C35" s="970"/>
      <c r="D35" s="971"/>
      <c r="E35" s="967">
        <v>1</v>
      </c>
      <c r="F35" s="968"/>
      <c r="G35" s="967">
        <v>5</v>
      </c>
      <c r="H35" s="968"/>
      <c r="I35" s="967" t="s">
        <v>738</v>
      </c>
      <c r="J35" s="968"/>
      <c r="K35" s="959">
        <v>1</v>
      </c>
      <c r="L35" s="959"/>
      <c r="M35" s="959">
        <v>5</v>
      </c>
      <c r="N35" s="959"/>
      <c r="O35" s="967" t="s">
        <v>738</v>
      </c>
      <c r="P35" s="968"/>
      <c r="Q35" s="295"/>
      <c r="R35" s="295"/>
      <c r="S35" s="295"/>
      <c r="T35" s="295"/>
    </row>
    <row r="36" spans="1:20" ht="15" x14ac:dyDescent="0.25">
      <c r="A36" s="451">
        <v>2</v>
      </c>
      <c r="B36" s="951"/>
      <c r="C36" s="952"/>
      <c r="D36" s="953"/>
      <c r="E36" s="951"/>
      <c r="F36" s="953"/>
      <c r="G36" s="951"/>
      <c r="H36" s="953"/>
      <c r="I36" s="951"/>
      <c r="J36" s="953"/>
      <c r="K36" s="950"/>
      <c r="L36" s="950"/>
      <c r="M36" s="950"/>
      <c r="N36" s="950"/>
      <c r="O36" s="950"/>
      <c r="P36" s="950"/>
      <c r="Q36" s="295"/>
      <c r="R36" s="295"/>
      <c r="S36" s="295"/>
      <c r="T36" s="295"/>
    </row>
    <row r="37" spans="1:20" ht="15" x14ac:dyDescent="0.25">
      <c r="A37" s="451">
        <v>3</v>
      </c>
      <c r="B37" s="951"/>
      <c r="C37" s="952"/>
      <c r="D37" s="953"/>
      <c r="E37" s="951"/>
      <c r="F37" s="953"/>
      <c r="G37" s="951"/>
      <c r="H37" s="953"/>
      <c r="I37" s="951"/>
      <c r="J37" s="953"/>
      <c r="K37" s="950"/>
      <c r="L37" s="950"/>
      <c r="M37" s="950"/>
      <c r="N37" s="950"/>
      <c r="O37" s="950"/>
      <c r="P37" s="950"/>
      <c r="Q37" s="295"/>
      <c r="R37" s="295"/>
      <c r="S37" s="295"/>
      <c r="T37" s="295"/>
    </row>
    <row r="38" spans="1:20" ht="15" x14ac:dyDescent="0.25">
      <c r="A38" s="451">
        <v>4</v>
      </c>
      <c r="B38" s="963"/>
      <c r="C38" s="964"/>
      <c r="D38" s="965"/>
      <c r="E38" s="951"/>
      <c r="F38" s="953"/>
      <c r="G38" s="951"/>
      <c r="H38" s="953"/>
      <c r="I38" s="951"/>
      <c r="J38" s="953"/>
      <c r="K38" s="950"/>
      <c r="L38" s="950"/>
      <c r="M38" s="950"/>
      <c r="N38" s="950"/>
      <c r="O38" s="950"/>
      <c r="P38" s="950"/>
      <c r="Q38" s="295"/>
      <c r="R38" s="295"/>
      <c r="S38" s="295"/>
      <c r="T38" s="295"/>
    </row>
    <row r="39" spans="1:20" ht="15" x14ac:dyDescent="0.25">
      <c r="A39" s="448"/>
      <c r="B39" s="449"/>
      <c r="C39" s="449"/>
      <c r="D39" s="449"/>
      <c r="E39" s="295"/>
      <c r="F39" s="295"/>
      <c r="G39" s="295"/>
      <c r="H39" s="295"/>
      <c r="I39" s="295"/>
      <c r="J39" s="295"/>
      <c r="K39" s="295"/>
      <c r="L39" s="295"/>
      <c r="M39" s="295"/>
      <c r="N39" s="295"/>
      <c r="O39" s="295"/>
      <c r="P39" s="295"/>
      <c r="Q39" s="295"/>
      <c r="R39" s="295"/>
      <c r="S39" s="295"/>
      <c r="T39" s="295"/>
    </row>
    <row r="40" spans="1:20" ht="13.9" customHeight="1" x14ac:dyDescent="0.25">
      <c r="A40" s="966" t="s">
        <v>199</v>
      </c>
      <c r="B40" s="966"/>
      <c r="C40" s="966"/>
      <c r="D40" s="966"/>
      <c r="E40" s="966"/>
      <c r="F40" s="966"/>
      <c r="G40" s="966"/>
      <c r="H40" s="966"/>
      <c r="I40" s="966"/>
      <c r="J40" s="39"/>
      <c r="K40" s="39"/>
      <c r="L40" s="39"/>
      <c r="M40" s="39"/>
      <c r="N40" s="39"/>
      <c r="O40" s="39"/>
      <c r="P40" s="39"/>
      <c r="Q40" s="39"/>
      <c r="R40" s="39"/>
      <c r="S40" s="39"/>
      <c r="T40" s="39"/>
    </row>
    <row r="41" spans="1:20" ht="13.9" customHeight="1" x14ac:dyDescent="0.25">
      <c r="A41" s="959" t="s">
        <v>60</v>
      </c>
      <c r="B41" s="959" t="s">
        <v>26</v>
      </c>
      <c r="C41" s="959"/>
      <c r="D41" s="959"/>
      <c r="E41" s="960" t="s">
        <v>27</v>
      </c>
      <c r="F41" s="960"/>
      <c r="G41" s="960"/>
      <c r="H41" s="961" t="s">
        <v>162</v>
      </c>
      <c r="I41" s="38"/>
      <c r="J41" s="39"/>
      <c r="K41" s="39"/>
      <c r="L41" s="39"/>
      <c r="M41" s="39"/>
      <c r="N41" s="39"/>
      <c r="O41" s="39"/>
      <c r="P41" s="39"/>
      <c r="Q41" s="39"/>
      <c r="R41" s="39"/>
      <c r="S41" s="39"/>
      <c r="T41" s="39"/>
    </row>
    <row r="42" spans="1:20" ht="15" x14ac:dyDescent="0.25">
      <c r="A42" s="959"/>
      <c r="B42" s="197" t="s">
        <v>189</v>
      </c>
      <c r="C42" s="198" t="s">
        <v>107</v>
      </c>
      <c r="D42" s="197" t="s">
        <v>18</v>
      </c>
      <c r="E42" s="197" t="s">
        <v>189</v>
      </c>
      <c r="F42" s="198" t="s">
        <v>107</v>
      </c>
      <c r="G42" s="197" t="s">
        <v>18</v>
      </c>
      <c r="H42" s="962"/>
      <c r="I42" s="38"/>
      <c r="J42" s="39"/>
      <c r="K42" s="39"/>
      <c r="L42" s="39"/>
      <c r="M42" s="39"/>
      <c r="N42" s="39"/>
      <c r="O42" s="39"/>
      <c r="P42" s="39"/>
      <c r="Q42" s="39"/>
      <c r="R42" s="39"/>
      <c r="S42" s="39"/>
      <c r="T42" s="39"/>
    </row>
    <row r="43" spans="1:20" ht="15" x14ac:dyDescent="0.25">
      <c r="A43" s="197" t="s">
        <v>255</v>
      </c>
      <c r="B43" s="205">
        <v>2.33</v>
      </c>
      <c r="C43" s="205">
        <v>0.78</v>
      </c>
      <c r="D43" s="197">
        <f t="shared" ref="D43:D48" si="0">B43+C43</f>
        <v>3.1100000000000003</v>
      </c>
      <c r="E43" s="205">
        <v>3.49</v>
      </c>
      <c r="F43" s="205">
        <v>1.1599999999999999</v>
      </c>
      <c r="G43" s="197">
        <f t="shared" ref="G43:G48" si="1">E43+F43</f>
        <v>4.6500000000000004</v>
      </c>
      <c r="H43" s="205"/>
      <c r="I43" s="38"/>
      <c r="J43" s="39"/>
      <c r="K43" s="39"/>
      <c r="L43" s="39"/>
      <c r="M43" s="39"/>
      <c r="N43" s="39"/>
      <c r="O43" s="39"/>
      <c r="P43" s="39"/>
      <c r="Q43" s="39"/>
      <c r="R43" s="39"/>
      <c r="S43" s="39"/>
      <c r="T43" s="39"/>
    </row>
    <row r="44" spans="1:20" ht="15" x14ac:dyDescent="0.25">
      <c r="A44" s="197" t="s">
        <v>284</v>
      </c>
      <c r="B44" s="361">
        <v>2.5099999999999998</v>
      </c>
      <c r="C44" s="361">
        <v>0.83</v>
      </c>
      <c r="D44" s="197">
        <f t="shared" si="0"/>
        <v>3.34</v>
      </c>
      <c r="E44" s="361">
        <v>3.75</v>
      </c>
      <c r="F44" s="361">
        <v>1.25</v>
      </c>
      <c r="G44" s="362">
        <f t="shared" si="1"/>
        <v>5</v>
      </c>
      <c r="H44" s="205"/>
      <c r="I44" s="38"/>
      <c r="J44" s="39"/>
      <c r="K44" s="39"/>
      <c r="L44" s="39"/>
      <c r="M44" s="39"/>
      <c r="N44" s="39"/>
      <c r="O44" s="39"/>
      <c r="P44" s="39"/>
      <c r="Q44" s="39"/>
      <c r="R44" s="39"/>
      <c r="S44" s="39"/>
      <c r="T44" s="39"/>
    </row>
    <row r="45" spans="1:20" ht="15" x14ac:dyDescent="0.25">
      <c r="A45" s="197" t="s">
        <v>473</v>
      </c>
      <c r="B45" s="361">
        <v>2.69</v>
      </c>
      <c r="C45" s="361">
        <v>0.9</v>
      </c>
      <c r="D45" s="197">
        <f t="shared" si="0"/>
        <v>3.59</v>
      </c>
      <c r="E45" s="361">
        <v>4.03</v>
      </c>
      <c r="F45" s="361">
        <v>1.35</v>
      </c>
      <c r="G45" s="197">
        <f t="shared" si="1"/>
        <v>5.3800000000000008</v>
      </c>
      <c r="H45" s="197"/>
      <c r="I45" s="38"/>
      <c r="J45" s="39"/>
      <c r="K45" s="39"/>
      <c r="L45" s="39"/>
      <c r="M45" s="39"/>
      <c r="N45" s="39"/>
      <c r="O45" s="39"/>
      <c r="P45" s="39"/>
      <c r="Q45" s="39"/>
      <c r="R45" s="39"/>
      <c r="S45" s="39"/>
      <c r="T45" s="39"/>
    </row>
    <row r="46" spans="1:20" ht="15" x14ac:dyDescent="0.25">
      <c r="A46" s="197" t="s">
        <v>486</v>
      </c>
      <c r="B46" s="361">
        <v>3.47</v>
      </c>
      <c r="C46" s="361">
        <v>0.39</v>
      </c>
      <c r="D46" s="197">
        <f t="shared" si="0"/>
        <v>3.8600000000000003</v>
      </c>
      <c r="E46" s="361">
        <v>5.2</v>
      </c>
      <c r="F46" s="205">
        <v>0.57999999999999996</v>
      </c>
      <c r="G46" s="197">
        <f t="shared" si="1"/>
        <v>5.78</v>
      </c>
      <c r="H46" s="197"/>
      <c r="I46" s="38"/>
      <c r="J46" s="39"/>
      <c r="K46" s="39"/>
      <c r="L46" s="39"/>
      <c r="M46" s="39"/>
      <c r="N46" s="39"/>
      <c r="O46" s="39"/>
      <c r="P46" s="39"/>
      <c r="Q46" s="39"/>
      <c r="R46" s="39"/>
      <c r="S46" s="39"/>
      <c r="T46" s="39"/>
    </row>
    <row r="47" spans="1:20" ht="15" x14ac:dyDescent="0.25">
      <c r="A47" s="197" t="s">
        <v>623</v>
      </c>
      <c r="B47" s="361">
        <v>3.72</v>
      </c>
      <c r="C47" s="361">
        <v>0.41</v>
      </c>
      <c r="D47" s="197">
        <f t="shared" si="0"/>
        <v>4.13</v>
      </c>
      <c r="E47" s="361">
        <v>5.56</v>
      </c>
      <c r="F47" s="205">
        <v>0.62</v>
      </c>
      <c r="G47" s="197">
        <f t="shared" si="1"/>
        <v>6.18</v>
      </c>
      <c r="H47" s="197"/>
      <c r="I47" s="38"/>
      <c r="J47" s="39"/>
      <c r="K47" s="39"/>
      <c r="L47" s="39"/>
      <c r="M47" s="39"/>
      <c r="N47" s="39"/>
      <c r="O47" s="39"/>
      <c r="P47" s="39"/>
      <c r="Q47" s="39"/>
      <c r="R47" s="39"/>
      <c r="S47" s="39"/>
      <c r="T47" s="39"/>
    </row>
    <row r="48" spans="1:20" ht="15" x14ac:dyDescent="0.25">
      <c r="A48" s="197" t="s">
        <v>663</v>
      </c>
      <c r="B48" s="435">
        <v>3.72</v>
      </c>
      <c r="C48" s="435">
        <v>0.41</v>
      </c>
      <c r="D48" s="558">
        <f t="shared" si="0"/>
        <v>4.13</v>
      </c>
      <c r="E48" s="349">
        <v>5.56</v>
      </c>
      <c r="F48" s="349">
        <v>0.62</v>
      </c>
      <c r="G48" s="558">
        <f t="shared" si="1"/>
        <v>6.18</v>
      </c>
      <c r="H48" s="558"/>
      <c r="I48" s="39"/>
      <c r="J48" s="39"/>
      <c r="K48" s="39"/>
      <c r="L48" s="39"/>
      <c r="M48" s="39"/>
      <c r="N48" s="39"/>
      <c r="O48" s="39"/>
      <c r="P48" s="39"/>
      <c r="Q48" s="39"/>
      <c r="R48" s="39"/>
      <c r="S48" s="39"/>
      <c r="T48" s="39"/>
    </row>
    <row r="49" spans="1:20" ht="15" x14ac:dyDescent="0.25">
      <c r="A49" s="740" t="s">
        <v>793</v>
      </c>
      <c r="B49" s="435">
        <v>3.72</v>
      </c>
      <c r="C49" s="435">
        <v>0.41</v>
      </c>
      <c r="D49" s="558">
        <f t="shared" ref="D49" si="2">B49+C49</f>
        <v>4.13</v>
      </c>
      <c r="E49" s="349">
        <v>5.56</v>
      </c>
      <c r="F49" s="349">
        <v>0.62</v>
      </c>
      <c r="G49" s="558">
        <f t="shared" ref="G49" si="3">E49+F49</f>
        <v>6.18</v>
      </c>
      <c r="H49" s="558"/>
      <c r="I49" s="39"/>
      <c r="J49" s="39"/>
      <c r="K49" s="39"/>
      <c r="L49" s="39"/>
      <c r="M49" s="39"/>
      <c r="N49" s="39"/>
      <c r="O49" s="39"/>
      <c r="P49" s="39"/>
      <c r="Q49" s="39"/>
      <c r="R49" s="39"/>
      <c r="S49" s="39"/>
      <c r="T49" s="39"/>
    </row>
    <row r="50" spans="1:20" ht="15" x14ac:dyDescent="0.25">
      <c r="A50" s="455" t="s">
        <v>257</v>
      </c>
      <c r="B50" s="39"/>
      <c r="C50" s="39"/>
      <c r="D50" s="39"/>
      <c r="E50" s="39"/>
      <c r="F50" s="39"/>
      <c r="G50" s="39"/>
      <c r="H50" s="39"/>
      <c r="I50" s="39"/>
      <c r="J50" s="39"/>
      <c r="K50" s="39"/>
      <c r="L50" s="39"/>
      <c r="M50" s="39"/>
      <c r="N50" s="39"/>
      <c r="O50" s="39"/>
      <c r="P50" s="39"/>
      <c r="Q50" s="39"/>
      <c r="R50" s="39"/>
      <c r="S50" s="39"/>
      <c r="T50" s="39"/>
    </row>
    <row r="51" spans="1:20" ht="15" x14ac:dyDescent="0.25">
      <c r="A51" s="74"/>
      <c r="B51" s="39"/>
      <c r="C51" s="39"/>
      <c r="D51" s="39"/>
      <c r="E51" s="39"/>
      <c r="F51" s="39"/>
      <c r="G51" s="39"/>
      <c r="H51" s="39"/>
      <c r="I51" s="39"/>
      <c r="J51" s="39"/>
      <c r="K51" s="39"/>
      <c r="L51" s="39"/>
      <c r="M51" s="39"/>
      <c r="N51" s="39"/>
      <c r="O51" s="39"/>
      <c r="P51" s="39"/>
      <c r="Q51" s="39"/>
      <c r="R51" s="39"/>
      <c r="S51" s="39"/>
      <c r="T51" s="39"/>
    </row>
    <row r="52" spans="1:20" ht="15" x14ac:dyDescent="0.25">
      <c r="A52" s="440"/>
      <c r="B52" s="295"/>
      <c r="C52" s="295"/>
      <c r="D52" s="294"/>
      <c r="E52" s="294"/>
      <c r="F52" s="294"/>
      <c r="G52" s="294"/>
      <c r="H52" s="294"/>
      <c r="I52" s="39"/>
      <c r="J52" s="39"/>
      <c r="K52" s="39"/>
      <c r="L52" s="39"/>
      <c r="M52" s="39"/>
      <c r="N52" s="39"/>
      <c r="O52" s="39"/>
      <c r="P52" s="39"/>
      <c r="Q52" s="39"/>
      <c r="R52" s="39"/>
      <c r="S52" s="39"/>
      <c r="T52" s="39"/>
    </row>
    <row r="53" spans="1:20" ht="15" x14ac:dyDescent="0.25">
      <c r="A53" s="452"/>
      <c r="B53" s="748"/>
      <c r="C53" s="748"/>
      <c r="D53" s="40"/>
      <c r="E53" s="40"/>
      <c r="F53" s="294"/>
      <c r="G53" s="294"/>
      <c r="H53" s="294"/>
      <c r="I53" s="39"/>
      <c r="J53" s="39"/>
      <c r="K53" s="39"/>
      <c r="L53" s="39"/>
      <c r="M53" s="39"/>
      <c r="N53" s="39"/>
      <c r="O53" s="39"/>
      <c r="P53" s="39"/>
      <c r="Q53" s="39"/>
      <c r="R53" s="39"/>
      <c r="S53" s="39"/>
      <c r="T53" s="39"/>
    </row>
    <row r="54" spans="1:20" ht="15" x14ac:dyDescent="0.25">
      <c r="A54" s="748"/>
      <c r="B54" s="443"/>
      <c r="C54" s="958"/>
      <c r="D54" s="958"/>
      <c r="E54" s="954"/>
      <c r="F54" s="954"/>
      <c r="G54" s="294"/>
      <c r="H54" s="294"/>
      <c r="I54" s="39"/>
      <c r="J54" s="39"/>
      <c r="K54" s="39"/>
      <c r="L54" s="39"/>
      <c r="M54" s="39"/>
      <c r="N54" s="39"/>
      <c r="O54" s="39"/>
      <c r="P54" s="39"/>
      <c r="Q54" s="39"/>
      <c r="R54" s="39"/>
      <c r="S54" s="39"/>
      <c r="T54" s="39"/>
    </row>
    <row r="55" spans="1:20" ht="15" x14ac:dyDescent="0.25">
      <c r="A55" s="440"/>
      <c r="B55" s="748"/>
      <c r="C55" s="954"/>
      <c r="D55" s="954"/>
      <c r="E55" s="955"/>
      <c r="F55" s="956"/>
      <c r="G55" s="294"/>
      <c r="H55" s="294"/>
      <c r="I55" s="39"/>
      <c r="J55" s="39"/>
      <c r="K55" s="39"/>
      <c r="L55" s="39"/>
      <c r="M55" s="39"/>
      <c r="N55" s="39"/>
      <c r="O55" s="39"/>
      <c r="P55" s="39"/>
      <c r="Q55" s="39"/>
      <c r="R55" s="39"/>
      <c r="S55" s="39"/>
      <c r="T55" s="39"/>
    </row>
    <row r="56" spans="1:20" ht="15" x14ac:dyDescent="0.25">
      <c r="A56" s="440"/>
      <c r="B56" s="748"/>
      <c r="C56" s="954"/>
      <c r="D56" s="954"/>
      <c r="E56" s="957"/>
      <c r="F56" s="956"/>
      <c r="G56" s="294"/>
      <c r="H56" s="294"/>
      <c r="I56" s="39"/>
      <c r="J56" s="39"/>
      <c r="K56" s="39"/>
      <c r="L56" s="39"/>
      <c r="M56" s="39"/>
      <c r="N56" s="39"/>
      <c r="O56" s="39"/>
      <c r="P56" s="39"/>
      <c r="Q56" s="39"/>
      <c r="R56" s="39"/>
      <c r="S56" s="39"/>
      <c r="T56" s="39"/>
    </row>
    <row r="57" spans="1:20" ht="15" x14ac:dyDescent="0.25">
      <c r="A57" s="74"/>
      <c r="B57" s="39"/>
      <c r="C57" s="39"/>
      <c r="D57" s="39"/>
      <c r="E57" s="39"/>
      <c r="F57" s="39"/>
      <c r="G57" s="39"/>
      <c r="H57" s="39"/>
      <c r="I57" s="39"/>
      <c r="J57" s="39"/>
      <c r="K57" s="39"/>
      <c r="L57" s="39"/>
      <c r="M57" s="39"/>
      <c r="N57" s="39"/>
      <c r="O57" s="39"/>
      <c r="P57" s="39"/>
      <c r="Q57" s="39"/>
      <c r="R57" s="39"/>
      <c r="S57" s="39"/>
      <c r="T57" s="39"/>
    </row>
    <row r="58" spans="1:20" ht="15" x14ac:dyDescent="0.25">
      <c r="A58" s="39" t="s">
        <v>11</v>
      </c>
      <c r="B58" s="39"/>
      <c r="C58" s="39"/>
      <c r="D58" s="39"/>
      <c r="E58" s="39"/>
      <c r="F58" s="39"/>
      <c r="G58" s="39"/>
      <c r="H58" s="39"/>
      <c r="I58" s="39"/>
      <c r="J58" s="39"/>
      <c r="K58" s="39"/>
      <c r="L58" s="39"/>
      <c r="M58" s="39"/>
      <c r="N58" s="39"/>
      <c r="O58" s="39"/>
      <c r="P58" s="39"/>
      <c r="Q58" s="39"/>
      <c r="R58" s="39"/>
      <c r="S58" s="39"/>
      <c r="T58" s="39"/>
    </row>
    <row r="59" spans="1:20" s="12" customFormat="1" ht="12.75" customHeight="1" x14ac:dyDescent="0.25">
      <c r="A59" s="38"/>
      <c r="B59" s="39"/>
      <c r="C59" s="39"/>
      <c r="D59" s="39"/>
      <c r="E59" s="39"/>
      <c r="F59" s="39"/>
      <c r="G59" s="39"/>
      <c r="H59" s="38"/>
      <c r="I59" s="39"/>
      <c r="J59" s="38"/>
      <c r="K59" s="38"/>
      <c r="L59" s="38"/>
      <c r="M59" s="38"/>
      <c r="N59" s="38"/>
      <c r="O59" s="948" t="s">
        <v>12</v>
      </c>
      <c r="P59" s="949"/>
      <c r="Q59" s="949"/>
      <c r="R59" s="38"/>
      <c r="S59" s="38"/>
    </row>
    <row r="60" spans="1:20" s="12" customFormat="1" ht="12.75" customHeight="1" x14ac:dyDescent="0.2">
      <c r="A60" s="38"/>
      <c r="B60" s="142"/>
      <c r="C60" s="142"/>
      <c r="D60" s="142"/>
      <c r="E60" s="142"/>
      <c r="F60" s="142"/>
      <c r="G60" s="142"/>
      <c r="H60" s="142"/>
      <c r="I60" s="142"/>
      <c r="J60" s="142"/>
      <c r="K60" s="142"/>
      <c r="L60" s="142"/>
      <c r="M60" s="142"/>
      <c r="N60" s="142"/>
      <c r="O60" s="142"/>
      <c r="P60" s="997" t="s">
        <v>13</v>
      </c>
      <c r="Q60" s="997"/>
      <c r="R60" s="997"/>
      <c r="S60" s="997"/>
      <c r="T60" s="997"/>
    </row>
    <row r="61" spans="1:20" s="12" customFormat="1" ht="13.15" customHeight="1" x14ac:dyDescent="0.2">
      <c r="A61" s="997" t="s">
        <v>94</v>
      </c>
      <c r="B61" s="997"/>
      <c r="C61" s="997"/>
      <c r="D61" s="997"/>
      <c r="E61" s="997"/>
      <c r="F61" s="997"/>
      <c r="G61" s="997"/>
      <c r="H61" s="997"/>
      <c r="I61" s="997"/>
      <c r="J61" s="997"/>
      <c r="K61" s="997"/>
      <c r="L61" s="997"/>
      <c r="M61" s="997"/>
      <c r="N61" s="997"/>
      <c r="O61" s="997"/>
      <c r="P61" s="997"/>
      <c r="Q61" s="997"/>
      <c r="R61" s="997"/>
      <c r="S61" s="997"/>
      <c r="T61" s="997"/>
    </row>
    <row r="62" spans="1:20" ht="12.75" customHeight="1" x14ac:dyDescent="0.25">
      <c r="A62" s="39"/>
      <c r="B62" s="39"/>
      <c r="C62" s="39"/>
      <c r="D62" s="39"/>
      <c r="E62" s="39"/>
      <c r="F62" s="39"/>
      <c r="G62" s="39"/>
      <c r="H62" s="39"/>
      <c r="I62" s="39"/>
      <c r="J62" s="39"/>
      <c r="K62" s="39"/>
      <c r="L62" s="39"/>
      <c r="M62" s="39"/>
      <c r="O62" s="453"/>
      <c r="P62" s="453" t="s">
        <v>85</v>
      </c>
      <c r="Q62" s="453"/>
      <c r="R62" s="39"/>
      <c r="S62" s="39"/>
    </row>
    <row r="63" spans="1:20" ht="15" x14ac:dyDescent="0.25">
      <c r="B63" s="39"/>
      <c r="C63" s="39"/>
      <c r="D63" s="39"/>
      <c r="E63" s="39"/>
      <c r="F63" s="39"/>
      <c r="G63" s="39"/>
      <c r="H63" s="39"/>
      <c r="I63" s="39"/>
      <c r="J63" s="39"/>
      <c r="K63" s="39"/>
      <c r="L63" s="39"/>
      <c r="M63" s="39"/>
      <c r="N63" s="39"/>
      <c r="O63" s="39"/>
      <c r="P63" s="39"/>
      <c r="Q63" s="39"/>
      <c r="R63" s="39"/>
      <c r="S63" s="39"/>
    </row>
  </sheetData>
  <mergeCells count="159">
    <mergeCell ref="J10:K10"/>
    <mergeCell ref="P60:T60"/>
    <mergeCell ref="A61:T61"/>
    <mergeCell ref="A33:A34"/>
    <mergeCell ref="B28:D28"/>
    <mergeCell ref="A19:A20"/>
    <mergeCell ref="I21:J21"/>
    <mergeCell ref="G28:H28"/>
    <mergeCell ref="E26:F26"/>
    <mergeCell ref="E28:F28"/>
    <mergeCell ref="M24:N24"/>
    <mergeCell ref="I29:J29"/>
    <mergeCell ref="K29:L29"/>
    <mergeCell ref="G21:H21"/>
    <mergeCell ref="B24:D24"/>
    <mergeCell ref="E27:F27"/>
    <mergeCell ref="M19:T19"/>
    <mergeCell ref="E25:F25"/>
    <mergeCell ref="E24:F24"/>
    <mergeCell ref="A16:B16"/>
    <mergeCell ref="B23:D23"/>
    <mergeCell ref="B19:D20"/>
    <mergeCell ref="E19:L19"/>
    <mergeCell ref="E20:F20"/>
    <mergeCell ref="A14:G14"/>
    <mergeCell ref="C15:D15"/>
    <mergeCell ref="C16:D16"/>
    <mergeCell ref="B11:C11"/>
    <mergeCell ref="I20:J20"/>
    <mergeCell ref="G22:H22"/>
    <mergeCell ref="A15:B15"/>
    <mergeCell ref="K21:L21"/>
    <mergeCell ref="E22:F22"/>
    <mergeCell ref="J11:K11"/>
    <mergeCell ref="H12:I12"/>
    <mergeCell ref="F12:G12"/>
    <mergeCell ref="B21:D21"/>
    <mergeCell ref="G20:H20"/>
    <mergeCell ref="D11:E11"/>
    <mergeCell ref="F11:G11"/>
    <mergeCell ref="H11:I11"/>
    <mergeCell ref="B10:C10"/>
    <mergeCell ref="D10:E10"/>
    <mergeCell ref="B12:C12"/>
    <mergeCell ref="H1:I1"/>
    <mergeCell ref="A2:T2"/>
    <mergeCell ref="A3:T3"/>
    <mergeCell ref="A4:T4"/>
    <mergeCell ref="R1:T1"/>
    <mergeCell ref="B9:C9"/>
    <mergeCell ref="B8:C8"/>
    <mergeCell ref="A6:I6"/>
    <mergeCell ref="A5:C5"/>
    <mergeCell ref="D8:E8"/>
    <mergeCell ref="H8:I8"/>
    <mergeCell ref="J8:K8"/>
    <mergeCell ref="F8:G8"/>
    <mergeCell ref="D9:E9"/>
    <mergeCell ref="F9:G9"/>
    <mergeCell ref="H9:I9"/>
    <mergeCell ref="J9:K9"/>
    <mergeCell ref="D12:E12"/>
    <mergeCell ref="F10:G10"/>
    <mergeCell ref="H10:I10"/>
    <mergeCell ref="J12:K12"/>
    <mergeCell ref="S20:T20"/>
    <mergeCell ref="M20:N20"/>
    <mergeCell ref="Q29:R29"/>
    <mergeCell ref="M23:N23"/>
    <mergeCell ref="O29:P29"/>
    <mergeCell ref="Q22:R28"/>
    <mergeCell ref="S22:T28"/>
    <mergeCell ref="S21:T21"/>
    <mergeCell ref="M22:N22"/>
    <mergeCell ref="O22:P22"/>
    <mergeCell ref="O20:P20"/>
    <mergeCell ref="Q21:R21"/>
    <mergeCell ref="Q20:R20"/>
    <mergeCell ref="O27:P27"/>
    <mergeCell ref="M26:N26"/>
    <mergeCell ref="O21:P21"/>
    <mergeCell ref="O23:P23"/>
    <mergeCell ref="M25:N25"/>
    <mergeCell ref="M21:N21"/>
    <mergeCell ref="O26:P26"/>
    <mergeCell ref="S29:T29"/>
    <mergeCell ref="M28:N28"/>
    <mergeCell ref="O28:P28"/>
    <mergeCell ref="G26:H26"/>
    <mergeCell ref="I22:J28"/>
    <mergeCell ref="G27:H27"/>
    <mergeCell ref="B27:D27"/>
    <mergeCell ref="B26:D26"/>
    <mergeCell ref="G23:H23"/>
    <mergeCell ref="O24:P24"/>
    <mergeCell ref="K20:L20"/>
    <mergeCell ref="G24:H24"/>
    <mergeCell ref="G25:H25"/>
    <mergeCell ref="B22:D22"/>
    <mergeCell ref="E21:F21"/>
    <mergeCell ref="E23:F23"/>
    <mergeCell ref="O35:P35"/>
    <mergeCell ref="O36:P36"/>
    <mergeCell ref="M35:N35"/>
    <mergeCell ref="B35:D35"/>
    <mergeCell ref="E35:F35"/>
    <mergeCell ref="G35:H35"/>
    <mergeCell ref="I35:J35"/>
    <mergeCell ref="K35:L35"/>
    <mergeCell ref="O25:P25"/>
    <mergeCell ref="M27:N27"/>
    <mergeCell ref="K22:L28"/>
    <mergeCell ref="B25:D25"/>
    <mergeCell ref="M29:N29"/>
    <mergeCell ref="E29:F29"/>
    <mergeCell ref="G29:H29"/>
    <mergeCell ref="K33:P33"/>
    <mergeCell ref="E34:F34"/>
    <mergeCell ref="G34:H34"/>
    <mergeCell ref="I34:J34"/>
    <mergeCell ref="K34:L34"/>
    <mergeCell ref="M34:N34"/>
    <mergeCell ref="O34:P34"/>
    <mergeCell ref="B31:H31"/>
    <mergeCell ref="B33:D34"/>
    <mergeCell ref="E33:J33"/>
    <mergeCell ref="B29:D29"/>
    <mergeCell ref="M36:N36"/>
    <mergeCell ref="M38:N38"/>
    <mergeCell ref="G37:H37"/>
    <mergeCell ref="I37:J37"/>
    <mergeCell ref="K37:L37"/>
    <mergeCell ref="M37:N37"/>
    <mergeCell ref="B36:D36"/>
    <mergeCell ref="E36:F36"/>
    <mergeCell ref="G36:H36"/>
    <mergeCell ref="I36:J36"/>
    <mergeCell ref="K36:L36"/>
    <mergeCell ref="O59:Q59"/>
    <mergeCell ref="O38:P38"/>
    <mergeCell ref="B37:D37"/>
    <mergeCell ref="E37:F37"/>
    <mergeCell ref="C55:D55"/>
    <mergeCell ref="E55:F55"/>
    <mergeCell ref="C56:D56"/>
    <mergeCell ref="E56:F56"/>
    <mergeCell ref="C54:D54"/>
    <mergeCell ref="B41:D41"/>
    <mergeCell ref="E41:G41"/>
    <mergeCell ref="H41:H42"/>
    <mergeCell ref="O37:P37"/>
    <mergeCell ref="E54:F54"/>
    <mergeCell ref="B38:D38"/>
    <mergeCell ref="E38:F38"/>
    <mergeCell ref="G38:H38"/>
    <mergeCell ref="I38:J38"/>
    <mergeCell ref="K38:L38"/>
    <mergeCell ref="A40:I40"/>
    <mergeCell ref="A41:A42"/>
  </mergeCells>
  <phoneticPr fontId="0" type="noConversion"/>
  <pageMargins left="0.70866141732283472" right="0.89" top="0.28999999999999998" bottom="0" header="0.54" footer="0.31496062992125984"/>
  <pageSetup paperSize="9" scale="5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1"/>
  <sheetViews>
    <sheetView view="pageBreakPreview" topLeftCell="A10" zoomScaleSheetLayoutView="100" workbookViewId="0">
      <selection activeCell="N16" sqref="N16"/>
    </sheetView>
  </sheetViews>
  <sheetFormatPr defaultRowHeight="18.75" customHeight="1" x14ac:dyDescent="0.2"/>
  <cols>
    <col min="1" max="1" width="6.5703125" customWidth="1"/>
    <col min="2" max="2" width="20.42578125" customWidth="1"/>
    <col min="3" max="3" width="12.85546875" customWidth="1"/>
    <col min="4" max="4" width="14.5703125" customWidth="1"/>
    <col min="5" max="5" width="14.28515625" customWidth="1"/>
    <col min="6" max="6" width="14.5703125" customWidth="1"/>
    <col min="7" max="7" width="11.42578125" customWidth="1"/>
    <col min="8" max="8" width="17.7109375" customWidth="1"/>
    <col min="9" max="9" width="16.42578125" customWidth="1"/>
    <col min="10" max="10" width="20.42578125" customWidth="1"/>
  </cols>
  <sheetData>
    <row r="1" spans="1:11" ht="18.75" customHeight="1" x14ac:dyDescent="0.2">
      <c r="J1" s="566" t="s">
        <v>671</v>
      </c>
    </row>
    <row r="2" spans="1:11" ht="18.75" customHeight="1" x14ac:dyDescent="0.35">
      <c r="A2" s="1201" t="s">
        <v>0</v>
      </c>
      <c r="B2" s="1201"/>
      <c r="C2" s="1201"/>
      <c r="D2" s="1201"/>
      <c r="E2" s="1201"/>
      <c r="F2" s="1201"/>
      <c r="G2" s="1201"/>
      <c r="H2" s="1201"/>
      <c r="I2" s="1201"/>
      <c r="J2" s="1201"/>
    </row>
    <row r="3" spans="1:11" ht="18.75" customHeight="1" x14ac:dyDescent="0.35">
      <c r="A3" s="611"/>
      <c r="B3" s="611"/>
      <c r="C3" s="611"/>
      <c r="D3" s="611"/>
      <c r="E3" s="611"/>
      <c r="F3" s="611"/>
      <c r="G3" s="611"/>
      <c r="H3" s="611"/>
      <c r="I3" s="1196" t="s">
        <v>672</v>
      </c>
      <c r="J3" s="1196"/>
      <c r="K3" s="614"/>
    </row>
    <row r="4" spans="1:11" ht="18.75" customHeight="1" x14ac:dyDescent="0.2">
      <c r="A4" s="1209" t="s">
        <v>794</v>
      </c>
      <c r="B4" s="1209"/>
      <c r="C4" s="1209"/>
      <c r="D4" s="1209"/>
      <c r="E4" s="1209"/>
      <c r="F4" s="1209"/>
      <c r="G4" s="1209"/>
      <c r="H4" s="1209"/>
      <c r="I4" s="1209"/>
      <c r="J4" s="1209"/>
    </row>
    <row r="5" spans="1:11" ht="3" customHeight="1" x14ac:dyDescent="0.3">
      <c r="A5" s="113"/>
      <c r="B5" s="113"/>
      <c r="C5" s="113"/>
      <c r="D5" s="113"/>
      <c r="E5" s="113"/>
      <c r="F5" s="113"/>
      <c r="G5" s="113"/>
      <c r="H5" s="113"/>
      <c r="I5" s="113"/>
    </row>
    <row r="6" spans="1:11" ht="18.75" customHeight="1" x14ac:dyDescent="0.3">
      <c r="A6" s="1208" t="s">
        <v>670</v>
      </c>
      <c r="B6" s="1208"/>
      <c r="C6" s="1208"/>
      <c r="D6" s="1208"/>
      <c r="E6" s="1208"/>
      <c r="F6" s="1208"/>
      <c r="G6" s="1208"/>
      <c r="H6" s="1208"/>
      <c r="I6" s="1208"/>
      <c r="J6" s="1208"/>
    </row>
    <row r="7" spans="1:11" ht="18.75" customHeight="1" x14ac:dyDescent="0.3">
      <c r="A7" s="114" t="s">
        <v>588</v>
      </c>
      <c r="B7" s="114"/>
      <c r="C7" s="114"/>
      <c r="D7" s="114"/>
      <c r="E7" s="114"/>
      <c r="F7" s="114"/>
      <c r="G7" s="114"/>
      <c r="H7" s="114"/>
      <c r="I7" s="1210" t="s">
        <v>911</v>
      </c>
      <c r="J7" s="1210"/>
    </row>
    <row r="8" spans="1:11" ht="18.75" customHeight="1" x14ac:dyDescent="0.2">
      <c r="A8" s="1202" t="s">
        <v>2</v>
      </c>
      <c r="B8" s="1202" t="s">
        <v>559</v>
      </c>
      <c r="C8" s="1064" t="s">
        <v>414</v>
      </c>
      <c r="D8" s="1064"/>
      <c r="E8" s="1064"/>
      <c r="F8" s="1203" t="s">
        <v>560</v>
      </c>
      <c r="G8" s="1204"/>
      <c r="H8" s="1204"/>
      <c r="I8" s="1205"/>
      <c r="J8" s="1206" t="s">
        <v>561</v>
      </c>
    </row>
    <row r="9" spans="1:11" ht="79.5" customHeight="1" x14ac:dyDescent="0.2">
      <c r="A9" s="1202"/>
      <c r="B9" s="1202"/>
      <c r="C9" s="195" t="s">
        <v>107</v>
      </c>
      <c r="D9" s="195" t="s">
        <v>562</v>
      </c>
      <c r="E9" s="195" t="s">
        <v>563</v>
      </c>
      <c r="F9" s="231" t="s">
        <v>564</v>
      </c>
      <c r="G9" s="231" t="s">
        <v>565</v>
      </c>
      <c r="H9" s="231" t="s">
        <v>566</v>
      </c>
      <c r="I9" s="231" t="s">
        <v>48</v>
      </c>
      <c r="J9" s="1207"/>
    </row>
    <row r="10" spans="1:11" ht="18.75" customHeight="1" x14ac:dyDescent="0.2">
      <c r="A10" s="314" t="s">
        <v>293</v>
      </c>
      <c r="B10" s="314" t="s">
        <v>294</v>
      </c>
      <c r="C10" s="314" t="s">
        <v>295</v>
      </c>
      <c r="D10" s="314" t="s">
        <v>296</v>
      </c>
      <c r="E10" s="314" t="s">
        <v>297</v>
      </c>
      <c r="F10" s="314" t="s">
        <v>300</v>
      </c>
      <c r="G10" s="314" t="s">
        <v>321</v>
      </c>
      <c r="H10" s="314" t="s">
        <v>322</v>
      </c>
      <c r="I10" s="314" t="s">
        <v>323</v>
      </c>
      <c r="J10" s="314" t="s">
        <v>351</v>
      </c>
    </row>
    <row r="11" spans="1:11" s="565" customFormat="1" ht="18.75" customHeight="1" x14ac:dyDescent="0.2">
      <c r="A11" s="663">
        <v>1</v>
      </c>
      <c r="B11" s="225" t="s">
        <v>392</v>
      </c>
      <c r="C11" s="1211" t="s">
        <v>789</v>
      </c>
      <c r="D11" s="1212"/>
      <c r="E11" s="1212"/>
      <c r="F11" s="1212"/>
      <c r="G11" s="1212"/>
      <c r="H11" s="1212"/>
      <c r="I11" s="1212"/>
      <c r="J11" s="1213"/>
    </row>
    <row r="12" spans="1:11" ht="18.75" customHeight="1" x14ac:dyDescent="0.2">
      <c r="A12" s="663">
        <v>2</v>
      </c>
      <c r="B12" s="225" t="s">
        <v>393</v>
      </c>
      <c r="C12" s="1214"/>
      <c r="D12" s="958"/>
      <c r="E12" s="958"/>
      <c r="F12" s="958"/>
      <c r="G12" s="958"/>
      <c r="H12" s="958"/>
      <c r="I12" s="958"/>
      <c r="J12" s="1215"/>
    </row>
    <row r="13" spans="1:11" ht="18.75" customHeight="1" x14ac:dyDescent="0.2">
      <c r="A13" s="663">
        <v>3</v>
      </c>
      <c r="B13" s="225" t="s">
        <v>394</v>
      </c>
      <c r="C13" s="1214"/>
      <c r="D13" s="958"/>
      <c r="E13" s="958"/>
      <c r="F13" s="958"/>
      <c r="G13" s="958"/>
      <c r="H13" s="958"/>
      <c r="I13" s="958"/>
      <c r="J13" s="1215"/>
    </row>
    <row r="14" spans="1:11" ht="18.75" customHeight="1" x14ac:dyDescent="0.2">
      <c r="A14" s="663">
        <v>4</v>
      </c>
      <c r="B14" s="225" t="s">
        <v>395</v>
      </c>
      <c r="C14" s="1214"/>
      <c r="D14" s="958"/>
      <c r="E14" s="958"/>
      <c r="F14" s="958"/>
      <c r="G14" s="958"/>
      <c r="H14" s="958"/>
      <c r="I14" s="958"/>
      <c r="J14" s="1215"/>
    </row>
    <row r="15" spans="1:11" ht="18.75" customHeight="1" x14ac:dyDescent="0.2">
      <c r="A15" s="663">
        <v>5</v>
      </c>
      <c r="B15" s="227" t="s">
        <v>396</v>
      </c>
      <c r="C15" s="1214"/>
      <c r="D15" s="958"/>
      <c r="E15" s="958"/>
      <c r="F15" s="958"/>
      <c r="G15" s="958"/>
      <c r="H15" s="958"/>
      <c r="I15" s="958"/>
      <c r="J15" s="1215"/>
    </row>
    <row r="16" spans="1:11" ht="18.75" customHeight="1" x14ac:dyDescent="0.2">
      <c r="A16" s="663">
        <v>6</v>
      </c>
      <c r="B16" s="225" t="s">
        <v>397</v>
      </c>
      <c r="C16" s="1214"/>
      <c r="D16" s="958"/>
      <c r="E16" s="958"/>
      <c r="F16" s="958"/>
      <c r="G16" s="958"/>
      <c r="H16" s="958"/>
      <c r="I16" s="958"/>
      <c r="J16" s="1215"/>
    </row>
    <row r="17" spans="1:11" ht="18.75" customHeight="1" x14ac:dyDescent="0.2">
      <c r="A17" s="663">
        <v>7</v>
      </c>
      <c r="B17" s="227" t="s">
        <v>398</v>
      </c>
      <c r="C17" s="1214"/>
      <c r="D17" s="958"/>
      <c r="E17" s="958"/>
      <c r="F17" s="958"/>
      <c r="G17" s="958"/>
      <c r="H17" s="958"/>
      <c r="I17" s="958"/>
      <c r="J17" s="1215"/>
    </row>
    <row r="18" spans="1:11" ht="18.75" customHeight="1" x14ac:dyDescent="0.2">
      <c r="A18" s="663">
        <v>8</v>
      </c>
      <c r="B18" s="225" t="s">
        <v>399</v>
      </c>
      <c r="C18" s="1214"/>
      <c r="D18" s="958"/>
      <c r="E18" s="958"/>
      <c r="F18" s="958"/>
      <c r="G18" s="958"/>
      <c r="H18" s="958"/>
      <c r="I18" s="958"/>
      <c r="J18" s="1215"/>
    </row>
    <row r="19" spans="1:11" ht="18.75" customHeight="1" x14ac:dyDescent="0.2">
      <c r="A19" s="663">
        <v>9</v>
      </c>
      <c r="B19" s="225" t="s">
        <v>400</v>
      </c>
      <c r="C19" s="1214"/>
      <c r="D19" s="958"/>
      <c r="E19" s="958"/>
      <c r="F19" s="958"/>
      <c r="G19" s="958"/>
      <c r="H19" s="958"/>
      <c r="I19" s="958"/>
      <c r="J19" s="1215"/>
    </row>
    <row r="20" spans="1:11" ht="18.75" customHeight="1" x14ac:dyDescent="0.2">
      <c r="A20" s="663">
        <v>10</v>
      </c>
      <c r="B20" s="225" t="s">
        <v>401</v>
      </c>
      <c r="C20" s="1214"/>
      <c r="D20" s="958"/>
      <c r="E20" s="958"/>
      <c r="F20" s="958"/>
      <c r="G20" s="958"/>
      <c r="H20" s="958"/>
      <c r="I20" s="958"/>
      <c r="J20" s="1215"/>
    </row>
    <row r="21" spans="1:11" ht="18.75" customHeight="1" x14ac:dyDescent="0.2">
      <c r="A21" s="663">
        <v>11</v>
      </c>
      <c r="B21" s="225" t="s">
        <v>402</v>
      </c>
      <c r="C21" s="1214"/>
      <c r="D21" s="958"/>
      <c r="E21" s="958"/>
      <c r="F21" s="958"/>
      <c r="G21" s="958"/>
      <c r="H21" s="958"/>
      <c r="I21" s="958"/>
      <c r="J21" s="1215"/>
    </row>
    <row r="22" spans="1:11" ht="18.75" customHeight="1" x14ac:dyDescent="0.2">
      <c r="A22" s="663">
        <v>12</v>
      </c>
      <c r="B22" s="225" t="s">
        <v>403</v>
      </c>
      <c r="C22" s="1214"/>
      <c r="D22" s="958"/>
      <c r="E22" s="958"/>
      <c r="F22" s="958"/>
      <c r="G22" s="958"/>
      <c r="H22" s="958"/>
      <c r="I22" s="958"/>
      <c r="J22" s="1215"/>
    </row>
    <row r="23" spans="1:11" ht="18.75" customHeight="1" x14ac:dyDescent="0.2">
      <c r="A23" s="663">
        <v>13</v>
      </c>
      <c r="B23" s="225" t="s">
        <v>404</v>
      </c>
      <c r="C23" s="1216"/>
      <c r="D23" s="1217"/>
      <c r="E23" s="1217"/>
      <c r="F23" s="1217"/>
      <c r="G23" s="1217"/>
      <c r="H23" s="1217"/>
      <c r="I23" s="1217"/>
      <c r="J23" s="1218"/>
    </row>
    <row r="24" spans="1:11" ht="18.75" customHeight="1" x14ac:dyDescent="0.2">
      <c r="A24" s="232" t="s">
        <v>18</v>
      </c>
      <c r="B24" s="232"/>
      <c r="C24" s="304"/>
      <c r="D24" s="304"/>
      <c r="E24" s="304"/>
      <c r="F24" s="304"/>
      <c r="G24" s="304"/>
      <c r="H24" s="304"/>
      <c r="I24" s="304"/>
      <c r="J24" s="304"/>
    </row>
    <row r="25" spans="1:11" ht="18.75" customHeight="1" x14ac:dyDescent="0.2">
      <c r="A25" s="1200"/>
      <c r="B25" s="1200"/>
      <c r="C25" s="1200"/>
      <c r="D25" s="1200"/>
      <c r="E25" s="1200"/>
      <c r="F25" s="1200"/>
      <c r="G25" s="1200"/>
      <c r="H25" s="1200"/>
      <c r="I25" s="1200"/>
      <c r="J25" s="1200"/>
    </row>
    <row r="28" spans="1:11" ht="18.75" customHeight="1" x14ac:dyDescent="0.2">
      <c r="A28" s="116"/>
      <c r="B28" s="116"/>
      <c r="C28" s="116"/>
      <c r="D28" s="116"/>
      <c r="I28" s="1187" t="s">
        <v>12</v>
      </c>
      <c r="J28" s="1187"/>
    </row>
    <row r="29" spans="1:11" ht="12.75" x14ac:dyDescent="0.2">
      <c r="A29" s="116"/>
      <c r="B29" s="116"/>
      <c r="C29" s="116"/>
      <c r="D29" s="116"/>
      <c r="H29" s="1187" t="s">
        <v>13</v>
      </c>
      <c r="I29" s="1187"/>
      <c r="J29" s="1187"/>
    </row>
    <row r="30" spans="1:11" ht="18.75" customHeight="1" x14ac:dyDescent="0.2">
      <c r="A30" s="116"/>
      <c r="B30" s="116"/>
      <c r="C30" s="116"/>
      <c r="D30" s="116"/>
      <c r="H30" s="1187" t="s">
        <v>88</v>
      </c>
      <c r="I30" s="1187"/>
      <c r="J30" s="1187"/>
      <c r="K30" s="1187"/>
    </row>
    <row r="31" spans="1:11" ht="18.75" customHeight="1" x14ac:dyDescent="0.2">
      <c r="A31" s="116" t="s">
        <v>11</v>
      </c>
      <c r="C31" s="116"/>
      <c r="D31" s="116"/>
      <c r="J31" s="118" t="s">
        <v>85</v>
      </c>
    </row>
  </sheetData>
  <mergeCells count="15">
    <mergeCell ref="A25:J25"/>
    <mergeCell ref="A2:J2"/>
    <mergeCell ref="H30:K30"/>
    <mergeCell ref="A8:A9"/>
    <mergeCell ref="B8:B9"/>
    <mergeCell ref="C8:E8"/>
    <mergeCell ref="F8:I8"/>
    <mergeCell ref="J8:J9"/>
    <mergeCell ref="A6:J6"/>
    <mergeCell ref="A4:J4"/>
    <mergeCell ref="I7:J7"/>
    <mergeCell ref="I3:J3"/>
    <mergeCell ref="I28:J28"/>
    <mergeCell ref="H29:J29"/>
    <mergeCell ref="C11:J23"/>
  </mergeCells>
  <printOptions horizontalCentered="1"/>
  <pageMargins left="0.34" right="0.39" top="0.44" bottom="0.41" header="0.27" footer="0.25"/>
  <pageSetup paperSize="9" scale="8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C00000"/>
    <pageSetUpPr fitToPage="1"/>
  </sheetPr>
  <dimension ref="A1:L32"/>
  <sheetViews>
    <sheetView view="pageBreakPreview" zoomScale="90" zoomScaleSheetLayoutView="90" workbookViewId="0">
      <selection activeCell="N16" sqref="N16"/>
    </sheetView>
  </sheetViews>
  <sheetFormatPr defaultRowHeight="12.75" x14ac:dyDescent="0.2"/>
  <cols>
    <col min="1" max="1" width="5.28515625" style="116" customWidth="1"/>
    <col min="2" max="2" width="8.5703125" style="116" customWidth="1"/>
    <col min="3" max="3" width="32.140625" style="116" customWidth="1"/>
    <col min="4" max="4" width="16.140625" style="116" customWidth="1"/>
    <col min="5" max="5" width="15.7109375" style="116" customWidth="1"/>
    <col min="6" max="6" width="14.7109375" style="116" customWidth="1"/>
    <col min="7" max="7" width="13.7109375" style="116" customWidth="1"/>
    <col min="8" max="8" width="13.5703125" style="116" customWidth="1"/>
    <col min="9" max="9" width="16.7109375" style="116" customWidth="1"/>
    <col min="10" max="10" width="14.28515625" style="116" customWidth="1"/>
    <col min="11" max="11" width="17.42578125" style="116" customWidth="1"/>
    <col min="12" max="12" width="58" style="116" customWidth="1"/>
    <col min="13" max="16384" width="9.140625" style="116"/>
  </cols>
  <sheetData>
    <row r="1" spans="1:12" x14ac:dyDescent="0.2">
      <c r="A1" s="116" t="s">
        <v>10</v>
      </c>
      <c r="I1" s="1222"/>
      <c r="J1" s="1222"/>
      <c r="K1" s="118"/>
      <c r="L1" s="338" t="s">
        <v>302</v>
      </c>
    </row>
    <row r="2" spans="1:12" s="119" customFormat="1" ht="15.75" x14ac:dyDescent="0.25">
      <c r="A2" s="1133" t="s">
        <v>0</v>
      </c>
      <c r="B2" s="1133"/>
      <c r="C2" s="1133"/>
      <c r="D2" s="1133"/>
      <c r="E2" s="1133"/>
      <c r="F2" s="1133"/>
      <c r="G2" s="1133"/>
      <c r="H2" s="1133"/>
      <c r="I2" s="1133"/>
      <c r="J2" s="1133"/>
      <c r="K2" s="1133"/>
      <c r="L2" s="1133"/>
    </row>
    <row r="3" spans="1:12" s="119" customFormat="1" ht="20.25" customHeight="1" x14ac:dyDescent="0.25">
      <c r="A3" s="1133" t="s">
        <v>794</v>
      </c>
      <c r="B3" s="1133"/>
      <c r="C3" s="1133"/>
      <c r="D3" s="1133"/>
      <c r="E3" s="1133"/>
      <c r="F3" s="1133"/>
      <c r="G3" s="1133"/>
      <c r="H3" s="1133"/>
      <c r="I3" s="1133"/>
      <c r="J3" s="1133"/>
      <c r="K3" s="1133"/>
      <c r="L3" s="1133"/>
    </row>
    <row r="4" spans="1:12" s="119" customFormat="1" ht="20.25" x14ac:dyDescent="0.3">
      <c r="A4" s="1223" t="s">
        <v>673</v>
      </c>
      <c r="B4" s="1223"/>
      <c r="C4" s="1223"/>
      <c r="D4" s="1223"/>
      <c r="E4" s="1223"/>
      <c r="F4" s="1223"/>
      <c r="G4" s="1223"/>
      <c r="H4" s="1223"/>
      <c r="I4" s="1223"/>
      <c r="J4" s="1223"/>
      <c r="K4" s="1223"/>
      <c r="L4" s="1224"/>
    </row>
    <row r="6" spans="1:12" x14ac:dyDescent="0.2">
      <c r="B6" s="24" t="s">
        <v>463</v>
      </c>
      <c r="C6" s="24"/>
      <c r="D6" s="182"/>
      <c r="E6" s="182"/>
      <c r="F6" s="182"/>
      <c r="G6" s="182"/>
      <c r="H6" s="182"/>
      <c r="I6" s="182"/>
      <c r="J6" s="182"/>
      <c r="K6" s="1098" t="s">
        <v>911</v>
      </c>
      <c r="L6" s="1098"/>
    </row>
    <row r="7" spans="1:12" s="122" customFormat="1" ht="39.75" customHeight="1" x14ac:dyDescent="0.2">
      <c r="A7" s="123"/>
      <c r="B7" s="1225" t="s">
        <v>315</v>
      </c>
      <c r="C7" s="1225" t="s">
        <v>316</v>
      </c>
      <c r="D7" s="1227" t="s">
        <v>317</v>
      </c>
      <c r="E7" s="1228"/>
      <c r="F7" s="1228"/>
      <c r="G7" s="1229"/>
      <c r="H7" s="1227" t="s">
        <v>822</v>
      </c>
      <c r="I7" s="1228"/>
      <c r="J7" s="1228"/>
      <c r="K7" s="1229"/>
      <c r="L7" s="1225" t="s">
        <v>79</v>
      </c>
    </row>
    <row r="8" spans="1:12" s="122" customFormat="1" ht="15.75" x14ac:dyDescent="0.25">
      <c r="A8" s="124"/>
      <c r="B8" s="1226"/>
      <c r="C8" s="1226"/>
      <c r="D8" s="179" t="s">
        <v>318</v>
      </c>
      <c r="E8" s="179" t="s">
        <v>319</v>
      </c>
      <c r="F8" s="179" t="s">
        <v>320</v>
      </c>
      <c r="G8" s="179" t="s">
        <v>18</v>
      </c>
      <c r="H8" s="179" t="s">
        <v>318</v>
      </c>
      <c r="I8" s="179" t="s">
        <v>319</v>
      </c>
      <c r="J8" s="179" t="s">
        <v>320</v>
      </c>
      <c r="K8" s="179" t="s">
        <v>18</v>
      </c>
      <c r="L8" s="1226"/>
    </row>
    <row r="9" spans="1:12" s="122" customFormat="1" ht="15" x14ac:dyDescent="0.25">
      <c r="A9" s="124"/>
      <c r="B9" s="180" t="s">
        <v>293</v>
      </c>
      <c r="C9" s="180" t="s">
        <v>294</v>
      </c>
      <c r="D9" s="180" t="s">
        <v>295</v>
      </c>
      <c r="E9" s="180" t="s">
        <v>296</v>
      </c>
      <c r="F9" s="180" t="s">
        <v>297</v>
      </c>
      <c r="G9" s="180" t="s">
        <v>298</v>
      </c>
      <c r="H9" s="180" t="s">
        <v>299</v>
      </c>
      <c r="I9" s="180" t="s">
        <v>300</v>
      </c>
      <c r="J9" s="180" t="s">
        <v>321</v>
      </c>
      <c r="K9" s="180" t="s">
        <v>322</v>
      </c>
      <c r="L9" s="180" t="s">
        <v>323</v>
      </c>
    </row>
    <row r="10" spans="1:12" s="127" customFormat="1" ht="35.1" customHeight="1" x14ac:dyDescent="0.2">
      <c r="B10" s="181" t="s">
        <v>30</v>
      </c>
      <c r="C10" s="1219" t="s">
        <v>324</v>
      </c>
      <c r="D10" s="1220"/>
      <c r="E10" s="1220"/>
      <c r="F10" s="1220"/>
      <c r="G10" s="1220"/>
      <c r="H10" s="1220"/>
      <c r="I10" s="1220"/>
      <c r="J10" s="1220"/>
      <c r="K10" s="1220"/>
      <c r="L10" s="1221"/>
    </row>
    <row r="11" spans="1:12" s="128" customFormat="1" ht="35.1" customHeight="1" x14ac:dyDescent="0.2">
      <c r="B11" s="181">
        <v>1</v>
      </c>
      <c r="C11" s="283" t="s">
        <v>445</v>
      </c>
      <c r="D11" s="181">
        <v>1</v>
      </c>
      <c r="E11" s="181">
        <v>0</v>
      </c>
      <c r="F11" s="181">
        <v>0</v>
      </c>
      <c r="G11" s="181">
        <f>D11+E11+F11</f>
        <v>1</v>
      </c>
      <c r="H11" s="181">
        <v>0</v>
      </c>
      <c r="I11" s="181">
        <v>0</v>
      </c>
      <c r="J11" s="181">
        <v>0</v>
      </c>
      <c r="K11" s="181">
        <f>H11+I11+J11</f>
        <v>0</v>
      </c>
      <c r="L11" s="181"/>
    </row>
    <row r="12" spans="1:12" ht="35.1" customHeight="1" x14ac:dyDescent="0.2">
      <c r="A12" s="125"/>
      <c r="B12" s="181">
        <v>2</v>
      </c>
      <c r="C12" s="283" t="s">
        <v>446</v>
      </c>
      <c r="D12" s="181">
        <v>2</v>
      </c>
      <c r="E12" s="181">
        <v>0</v>
      </c>
      <c r="F12" s="181">
        <v>0</v>
      </c>
      <c r="G12" s="181">
        <f>D12+E12+F12</f>
        <v>2</v>
      </c>
      <c r="H12" s="181">
        <v>0</v>
      </c>
      <c r="I12" s="181">
        <v>0</v>
      </c>
      <c r="J12" s="181">
        <v>0</v>
      </c>
      <c r="K12" s="181">
        <f>H12+I12+J12</f>
        <v>0</v>
      </c>
      <c r="L12" s="283"/>
    </row>
    <row r="13" spans="1:12" ht="35.1" customHeight="1" x14ac:dyDescent="0.2">
      <c r="B13" s="181">
        <v>3</v>
      </c>
      <c r="C13" s="283" t="s">
        <v>447</v>
      </c>
      <c r="D13" s="181">
        <v>0</v>
      </c>
      <c r="E13" s="181">
        <v>0</v>
      </c>
      <c r="F13" s="181">
        <v>0</v>
      </c>
      <c r="G13" s="181">
        <f>D13+E13+F13</f>
        <v>0</v>
      </c>
      <c r="H13" s="181">
        <v>0</v>
      </c>
      <c r="I13" s="181">
        <v>0</v>
      </c>
      <c r="J13" s="181">
        <v>0</v>
      </c>
      <c r="K13" s="181">
        <f>H13+I13+J13</f>
        <v>0</v>
      </c>
      <c r="L13" s="181"/>
    </row>
    <row r="14" spans="1:12" s="87" customFormat="1" ht="35.1" customHeight="1" x14ac:dyDescent="0.2">
      <c r="B14" s="181">
        <v>4</v>
      </c>
      <c r="C14" s="283" t="s">
        <v>448</v>
      </c>
      <c r="D14" s="181">
        <v>0</v>
      </c>
      <c r="E14" s="181">
        <v>0</v>
      </c>
      <c r="F14" s="181">
        <v>0</v>
      </c>
      <c r="G14" s="181">
        <f>D14+E14+F14</f>
        <v>0</v>
      </c>
      <c r="H14" s="181">
        <v>0</v>
      </c>
      <c r="I14" s="181">
        <v>0</v>
      </c>
      <c r="J14" s="181">
        <v>0</v>
      </c>
      <c r="K14" s="181">
        <f>H14+I14+J14</f>
        <v>0</v>
      </c>
      <c r="L14" s="284"/>
    </row>
    <row r="15" spans="1:12" s="87" customFormat="1" ht="35.1" customHeight="1" x14ac:dyDescent="0.2">
      <c r="B15" s="181"/>
      <c r="C15" s="283" t="s">
        <v>18</v>
      </c>
      <c r="D15" s="181">
        <f>SUM(D11:D14)</f>
        <v>3</v>
      </c>
      <c r="E15" s="181">
        <f t="shared" ref="E15:K15" si="0">SUM(E11:E14)</f>
        <v>0</v>
      </c>
      <c r="F15" s="181">
        <f t="shared" si="0"/>
        <v>0</v>
      </c>
      <c r="G15" s="181">
        <f t="shared" si="0"/>
        <v>3</v>
      </c>
      <c r="H15" s="181">
        <f t="shared" si="0"/>
        <v>0</v>
      </c>
      <c r="I15" s="181">
        <f t="shared" si="0"/>
        <v>0</v>
      </c>
      <c r="J15" s="181">
        <f t="shared" si="0"/>
        <v>0</v>
      </c>
      <c r="K15" s="181">
        <f t="shared" si="0"/>
        <v>0</v>
      </c>
      <c r="L15" s="284"/>
    </row>
    <row r="16" spans="1:12" s="87" customFormat="1" ht="35.1" customHeight="1" x14ac:dyDescent="0.2">
      <c r="B16" s="181" t="s">
        <v>34</v>
      </c>
      <c r="C16" s="1219" t="s">
        <v>325</v>
      </c>
      <c r="D16" s="1220"/>
      <c r="E16" s="1220"/>
      <c r="F16" s="1220"/>
      <c r="G16" s="1220"/>
      <c r="H16" s="1220"/>
      <c r="I16" s="1220"/>
      <c r="J16" s="1220"/>
      <c r="K16" s="1220"/>
      <c r="L16" s="1221"/>
    </row>
    <row r="17" spans="1:12" s="87" customFormat="1" ht="35.1" customHeight="1" x14ac:dyDescent="0.2">
      <c r="A17" s="126" t="s">
        <v>314</v>
      </c>
      <c r="B17" s="283">
        <v>1</v>
      </c>
      <c r="C17" s="181" t="s">
        <v>449</v>
      </c>
      <c r="D17" s="283">
        <v>1</v>
      </c>
      <c r="E17" s="283">
        <v>13</v>
      </c>
      <c r="F17" s="283">
        <v>0</v>
      </c>
      <c r="G17" s="283">
        <f t="shared" ref="G17:G22" si="1">D17+E17+F17</f>
        <v>14</v>
      </c>
      <c r="H17" s="283">
        <v>0</v>
      </c>
      <c r="I17" s="283">
        <v>0</v>
      </c>
      <c r="J17" s="283">
        <v>95</v>
      </c>
      <c r="K17" s="283">
        <f t="shared" ref="K17:K22" si="2">H17+I17+J17</f>
        <v>95</v>
      </c>
      <c r="L17" s="181" t="s">
        <v>454</v>
      </c>
    </row>
    <row r="18" spans="1:12" ht="35.1" customHeight="1" x14ac:dyDescent="0.2">
      <c r="B18" s="181">
        <v>2</v>
      </c>
      <c r="C18" s="181" t="s">
        <v>450</v>
      </c>
      <c r="D18" s="181">
        <v>1</v>
      </c>
      <c r="E18" s="181">
        <v>0</v>
      </c>
      <c r="F18" s="181">
        <v>0</v>
      </c>
      <c r="G18" s="283">
        <f t="shared" si="1"/>
        <v>1</v>
      </c>
      <c r="H18" s="181">
        <v>0</v>
      </c>
      <c r="I18" s="181">
        <v>0</v>
      </c>
      <c r="J18" s="181">
        <v>0</v>
      </c>
      <c r="K18" s="283">
        <f t="shared" si="2"/>
        <v>0</v>
      </c>
      <c r="L18" s="181"/>
    </row>
    <row r="19" spans="1:12" ht="35.1" customHeight="1" x14ac:dyDescent="0.2">
      <c r="B19" s="181">
        <v>3</v>
      </c>
      <c r="C19" s="181" t="s">
        <v>451</v>
      </c>
      <c r="D19" s="181">
        <v>0</v>
      </c>
      <c r="E19" s="181">
        <v>0</v>
      </c>
      <c r="F19" s="181">
        <v>0</v>
      </c>
      <c r="G19" s="283">
        <f t="shared" si="1"/>
        <v>0</v>
      </c>
      <c r="H19" s="181">
        <v>0</v>
      </c>
      <c r="I19" s="181">
        <v>0</v>
      </c>
      <c r="J19" s="181">
        <v>0</v>
      </c>
      <c r="K19" s="283">
        <f t="shared" si="2"/>
        <v>0</v>
      </c>
      <c r="L19" s="181"/>
    </row>
    <row r="20" spans="1:12" ht="35.1" customHeight="1" x14ac:dyDescent="0.2">
      <c r="B20" s="181">
        <v>4</v>
      </c>
      <c r="C20" s="181" t="s">
        <v>452</v>
      </c>
      <c r="D20" s="181">
        <v>1</v>
      </c>
      <c r="E20" s="181">
        <v>0</v>
      </c>
      <c r="F20" s="181">
        <v>0</v>
      </c>
      <c r="G20" s="283">
        <f t="shared" si="1"/>
        <v>1</v>
      </c>
      <c r="H20" s="181">
        <v>0</v>
      </c>
      <c r="I20" s="181">
        <v>0</v>
      </c>
      <c r="J20" s="181">
        <v>0</v>
      </c>
      <c r="K20" s="283">
        <f t="shared" si="2"/>
        <v>0</v>
      </c>
      <c r="L20" s="181"/>
    </row>
    <row r="21" spans="1:12" ht="35.1" customHeight="1" x14ac:dyDescent="0.2">
      <c r="B21" s="181">
        <v>5</v>
      </c>
      <c r="C21" s="181" t="s">
        <v>453</v>
      </c>
      <c r="D21" s="181">
        <v>1</v>
      </c>
      <c r="E21" s="181" t="s">
        <v>611</v>
      </c>
      <c r="F21" s="181">
        <v>0</v>
      </c>
      <c r="G21" s="283">
        <v>12</v>
      </c>
      <c r="H21" s="181">
        <v>0</v>
      </c>
      <c r="I21" s="181">
        <v>0</v>
      </c>
      <c r="J21" s="181">
        <v>0</v>
      </c>
      <c r="K21" s="283">
        <f t="shared" si="2"/>
        <v>0</v>
      </c>
      <c r="L21" s="181"/>
    </row>
    <row r="22" spans="1:12" ht="35.1" customHeight="1" x14ac:dyDescent="0.2">
      <c r="B22" s="181">
        <v>6</v>
      </c>
      <c r="C22" s="181" t="s">
        <v>455</v>
      </c>
      <c r="D22" s="181">
        <v>2</v>
      </c>
      <c r="E22" s="181">
        <v>13</v>
      </c>
      <c r="F22" s="181">
        <v>0</v>
      </c>
      <c r="G22" s="283">
        <f t="shared" si="1"/>
        <v>15</v>
      </c>
      <c r="H22" s="181">
        <v>0</v>
      </c>
      <c r="I22" s="181">
        <v>0</v>
      </c>
      <c r="J22" s="181">
        <v>0</v>
      </c>
      <c r="K22" s="283">
        <f t="shared" si="2"/>
        <v>0</v>
      </c>
      <c r="L22" s="181"/>
    </row>
    <row r="23" spans="1:12" ht="35.1" customHeight="1" x14ac:dyDescent="0.2">
      <c r="B23" s="181"/>
      <c r="C23" s="181"/>
      <c r="D23" s="181">
        <f t="shared" ref="D23:K23" si="3">SUM(D17:D22)</f>
        <v>6</v>
      </c>
      <c r="E23" s="181">
        <f t="shared" si="3"/>
        <v>26</v>
      </c>
      <c r="F23" s="181">
        <f t="shared" si="3"/>
        <v>0</v>
      </c>
      <c r="G23" s="181">
        <f t="shared" si="3"/>
        <v>43</v>
      </c>
      <c r="H23" s="181">
        <f t="shared" si="3"/>
        <v>0</v>
      </c>
      <c r="I23" s="181">
        <f t="shared" si="3"/>
        <v>0</v>
      </c>
      <c r="J23" s="181">
        <f t="shared" si="3"/>
        <v>95</v>
      </c>
      <c r="K23" s="181">
        <f t="shared" si="3"/>
        <v>95</v>
      </c>
      <c r="L23" s="181"/>
    </row>
    <row r="24" spans="1:12" ht="30" customHeight="1" x14ac:dyDescent="0.25">
      <c r="B24" s="395" t="s">
        <v>624</v>
      </c>
      <c r="C24" s="183"/>
      <c r="D24" s="183"/>
      <c r="E24" s="183"/>
      <c r="F24" s="183"/>
      <c r="G24" s="183"/>
      <c r="H24" s="183"/>
      <c r="I24" s="183"/>
      <c r="J24" s="183"/>
      <c r="K24" s="183"/>
      <c r="L24" s="184"/>
    </row>
    <row r="25" spans="1:12" ht="30" customHeight="1" x14ac:dyDescent="0.25">
      <c r="B25" s="395"/>
      <c r="C25" s="183"/>
      <c r="D25" s="183"/>
      <c r="E25" s="183"/>
      <c r="F25" s="183"/>
      <c r="G25" s="183"/>
      <c r="H25" s="183"/>
      <c r="I25" s="183"/>
      <c r="J25" s="183"/>
      <c r="K25" s="183"/>
      <c r="L25" s="184"/>
    </row>
    <row r="26" spans="1:12" ht="30" customHeight="1" x14ac:dyDescent="0.25">
      <c r="B26" s="395"/>
      <c r="C26" s="183"/>
      <c r="D26" s="183"/>
      <c r="E26" s="183"/>
      <c r="F26" s="183"/>
      <c r="G26" s="183"/>
      <c r="H26" s="183"/>
      <c r="I26" s="183"/>
      <c r="J26" s="183"/>
      <c r="K26" s="183"/>
      <c r="L26" s="184"/>
    </row>
    <row r="27" spans="1:12" ht="15.75" x14ac:dyDescent="0.25">
      <c r="B27" s="183"/>
      <c r="C27" s="183"/>
      <c r="D27" s="183"/>
      <c r="E27" s="183"/>
      <c r="F27" s="183"/>
      <c r="G27" s="183"/>
      <c r="H27" s="183"/>
      <c r="I27" s="183"/>
      <c r="J27" s="183"/>
      <c r="K27" s="183"/>
      <c r="L27" s="184"/>
    </row>
    <row r="28" spans="1:12" ht="15.75" x14ac:dyDescent="0.25">
      <c r="B28" s="183"/>
      <c r="C28" s="183"/>
      <c r="D28" s="183"/>
      <c r="E28" s="183"/>
      <c r="F28" s="183"/>
      <c r="G28" s="183"/>
      <c r="H28" s="183"/>
      <c r="I28" s="183"/>
      <c r="J28" s="183"/>
      <c r="K28" s="183"/>
      <c r="L28" s="184"/>
    </row>
    <row r="29" spans="1:12" ht="15.75" x14ac:dyDescent="0.2">
      <c r="J29" s="529"/>
      <c r="K29" s="529"/>
      <c r="L29" s="530" t="s">
        <v>12</v>
      </c>
    </row>
    <row r="30" spans="1:12" ht="15.75" customHeight="1" x14ac:dyDescent="0.2">
      <c r="J30" s="529"/>
      <c r="K30" s="529"/>
      <c r="L30" s="530" t="s">
        <v>13</v>
      </c>
    </row>
    <row r="31" spans="1:12" ht="15.75" customHeight="1" x14ac:dyDescent="0.2">
      <c r="B31" s="116" t="s">
        <v>612</v>
      </c>
      <c r="J31" s="529"/>
      <c r="K31" s="529"/>
      <c r="L31" s="530" t="s">
        <v>88</v>
      </c>
    </row>
    <row r="32" spans="1:12" ht="15" x14ac:dyDescent="0.25">
      <c r="L32" s="531" t="s">
        <v>647</v>
      </c>
    </row>
  </sheetData>
  <mergeCells count="12">
    <mergeCell ref="K6:L6"/>
    <mergeCell ref="C16:L16"/>
    <mergeCell ref="I1:J1"/>
    <mergeCell ref="A2:L2"/>
    <mergeCell ref="A3:L3"/>
    <mergeCell ref="A4:L4"/>
    <mergeCell ref="B7:B8"/>
    <mergeCell ref="C7:C8"/>
    <mergeCell ref="D7:G7"/>
    <mergeCell ref="H7:K7"/>
    <mergeCell ref="L7:L8"/>
    <mergeCell ref="C10:L10"/>
  </mergeCells>
  <printOptions horizontalCentered="1"/>
  <pageMargins left="0.46" right="0.48" top="0.39" bottom="0" header="0.78" footer="0.31496062992125984"/>
  <pageSetup paperSize="9" scale="61"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M31"/>
  <sheetViews>
    <sheetView view="pageBreakPreview" topLeftCell="A6" zoomScaleSheetLayoutView="100" workbookViewId="0">
      <selection activeCell="E24" sqref="E24"/>
    </sheetView>
  </sheetViews>
  <sheetFormatPr defaultRowHeight="12.75" x14ac:dyDescent="0.2"/>
  <cols>
    <col min="1" max="1" width="8.28515625" customWidth="1"/>
    <col min="2" max="2" width="15.5703125" customWidth="1"/>
    <col min="3" max="3" width="17.28515625" customWidth="1"/>
    <col min="4" max="4" width="21" customWidth="1"/>
    <col min="5" max="5" width="21.140625" customWidth="1"/>
    <col min="6" max="6" width="20.7109375" customWidth="1"/>
    <col min="7" max="7" width="23.5703125" customWidth="1"/>
  </cols>
  <sheetData>
    <row r="1" spans="1:7" ht="18" x14ac:dyDescent="0.35">
      <c r="A1" s="1201" t="s">
        <v>0</v>
      </c>
      <c r="B1" s="1201"/>
      <c r="C1" s="1201"/>
      <c r="D1" s="1201"/>
      <c r="E1" s="1201"/>
      <c r="F1" s="1201"/>
      <c r="G1" s="112" t="s">
        <v>823</v>
      </c>
    </row>
    <row r="2" spans="1:7" ht="21" x14ac:dyDescent="0.35">
      <c r="A2" s="1231" t="s">
        <v>794</v>
      </c>
      <c r="B2" s="1231"/>
      <c r="C2" s="1231"/>
      <c r="D2" s="1231"/>
      <c r="E2" s="1231"/>
      <c r="F2" s="1231"/>
      <c r="G2" s="1231"/>
    </row>
    <row r="3" spans="1:7" ht="15" x14ac:dyDescent="0.3">
      <c r="A3" s="113"/>
      <c r="B3" s="113"/>
    </row>
    <row r="4" spans="1:7" ht="18" customHeight="1" x14ac:dyDescent="0.35">
      <c r="A4" s="1232" t="s">
        <v>824</v>
      </c>
      <c r="B4" s="1232"/>
      <c r="C4" s="1232"/>
      <c r="D4" s="1232"/>
      <c r="E4" s="1232"/>
      <c r="F4" s="1232"/>
      <c r="G4" s="1232"/>
    </row>
    <row r="5" spans="1:7" ht="15" x14ac:dyDescent="0.3">
      <c r="A5" s="114" t="s">
        <v>613</v>
      </c>
      <c r="B5" s="114"/>
    </row>
    <row r="6" spans="1:7" ht="15" x14ac:dyDescent="0.3">
      <c r="A6" s="114"/>
      <c r="B6" s="114"/>
      <c r="F6" s="1088" t="s">
        <v>911</v>
      </c>
      <c r="G6" s="1088"/>
    </row>
    <row r="7" spans="1:7" ht="59.25" customHeight="1" x14ac:dyDescent="0.2">
      <c r="A7" s="767" t="s">
        <v>2</v>
      </c>
      <c r="B7" s="768" t="s">
        <v>3</v>
      </c>
      <c r="C7" s="769" t="s">
        <v>825</v>
      </c>
      <c r="D7" s="769" t="s">
        <v>826</v>
      </c>
      <c r="E7" s="769" t="s">
        <v>827</v>
      </c>
      <c r="F7" s="769" t="s">
        <v>828</v>
      </c>
      <c r="G7" s="769" t="s">
        <v>829</v>
      </c>
    </row>
    <row r="8" spans="1:7" s="112" customFormat="1" ht="15" x14ac:dyDescent="0.25">
      <c r="A8" s="314" t="s">
        <v>293</v>
      </c>
      <c r="B8" s="314" t="s">
        <v>294</v>
      </c>
      <c r="C8" s="314" t="s">
        <v>295</v>
      </c>
      <c r="D8" s="314" t="s">
        <v>296</v>
      </c>
      <c r="E8" s="314" t="s">
        <v>297</v>
      </c>
      <c r="F8" s="314" t="s">
        <v>298</v>
      </c>
      <c r="G8" s="314" t="s">
        <v>299</v>
      </c>
    </row>
    <row r="9" spans="1:7" s="112" customFormat="1" ht="17.25" customHeight="1" x14ac:dyDescent="0.25">
      <c r="A9" s="770">
        <v>1</v>
      </c>
      <c r="B9" s="770" t="s">
        <v>392</v>
      </c>
      <c r="C9" s="786">
        <v>1864</v>
      </c>
      <c r="D9" s="797"/>
      <c r="E9" s="797">
        <v>87</v>
      </c>
      <c r="F9" s="797"/>
      <c r="G9" s="797"/>
    </row>
    <row r="10" spans="1:7" s="112" customFormat="1" ht="17.25" customHeight="1" x14ac:dyDescent="0.25">
      <c r="A10" s="770">
        <v>2</v>
      </c>
      <c r="B10" s="770" t="s">
        <v>393</v>
      </c>
      <c r="C10" s="786">
        <v>819</v>
      </c>
      <c r="D10" s="797"/>
      <c r="E10" s="797">
        <v>503</v>
      </c>
      <c r="F10" s="797"/>
      <c r="G10" s="797"/>
    </row>
    <row r="11" spans="1:7" s="112" customFormat="1" ht="17.25" customHeight="1" x14ac:dyDescent="0.25">
      <c r="A11" s="770">
        <v>3</v>
      </c>
      <c r="B11" s="770" t="s">
        <v>394</v>
      </c>
      <c r="C11" s="786">
        <v>1406</v>
      </c>
      <c r="D11" s="797"/>
      <c r="E11" s="797">
        <v>6</v>
      </c>
      <c r="F11" s="797"/>
      <c r="G11" s="797"/>
    </row>
    <row r="12" spans="1:7" s="112" customFormat="1" ht="17.25" customHeight="1" x14ac:dyDescent="0.25">
      <c r="A12" s="770">
        <v>4</v>
      </c>
      <c r="B12" s="770" t="s">
        <v>395</v>
      </c>
      <c r="C12" s="786">
        <v>714</v>
      </c>
      <c r="D12" s="797"/>
      <c r="E12" s="797">
        <v>32</v>
      </c>
      <c r="F12" s="797"/>
      <c r="G12" s="797"/>
    </row>
    <row r="13" spans="1:7" s="112" customFormat="1" ht="17.25" customHeight="1" x14ac:dyDescent="0.25">
      <c r="A13" s="770">
        <v>5</v>
      </c>
      <c r="B13" s="770" t="s">
        <v>396</v>
      </c>
      <c r="C13" s="786">
        <v>1442</v>
      </c>
      <c r="D13" s="797"/>
      <c r="E13" s="797">
        <v>13</v>
      </c>
      <c r="F13" s="797"/>
      <c r="G13" s="797"/>
    </row>
    <row r="14" spans="1:7" s="112" customFormat="1" ht="17.25" customHeight="1" x14ac:dyDescent="0.25">
      <c r="A14" s="770">
        <v>6</v>
      </c>
      <c r="B14" s="770" t="s">
        <v>397</v>
      </c>
      <c r="C14" s="786">
        <v>1086</v>
      </c>
      <c r="D14" s="797"/>
      <c r="E14" s="797">
        <v>1</v>
      </c>
      <c r="F14" s="797"/>
      <c r="G14" s="797"/>
    </row>
    <row r="15" spans="1:7" s="112" customFormat="1" ht="17.25" customHeight="1" x14ac:dyDescent="0.25">
      <c r="A15" s="770">
        <v>7</v>
      </c>
      <c r="B15" s="770" t="s">
        <v>398</v>
      </c>
      <c r="C15" s="788">
        <v>1427</v>
      </c>
      <c r="D15" s="797"/>
      <c r="E15" s="797">
        <v>28</v>
      </c>
      <c r="F15" s="797"/>
      <c r="G15" s="797"/>
    </row>
    <row r="16" spans="1:7" s="112" customFormat="1" ht="17.25" customHeight="1" x14ac:dyDescent="0.25">
      <c r="A16" s="770">
        <v>8</v>
      </c>
      <c r="B16" s="770" t="s">
        <v>399</v>
      </c>
      <c r="C16" s="795">
        <v>2224</v>
      </c>
      <c r="D16" s="797"/>
      <c r="E16" s="797">
        <v>38</v>
      </c>
      <c r="F16" s="797"/>
      <c r="G16" s="797"/>
    </row>
    <row r="17" spans="1:13" ht="17.25" customHeight="1" x14ac:dyDescent="0.25">
      <c r="A17" s="741">
        <v>9</v>
      </c>
      <c r="B17" s="741" t="s">
        <v>400</v>
      </c>
      <c r="C17" s="787">
        <v>1559</v>
      </c>
      <c r="D17" s="795"/>
      <c r="E17" s="795">
        <v>156</v>
      </c>
      <c r="F17" s="795"/>
      <c r="G17" s="795"/>
    </row>
    <row r="18" spans="1:13" ht="17.25" customHeight="1" x14ac:dyDescent="0.25">
      <c r="A18" s="741">
        <v>10</v>
      </c>
      <c r="B18" s="741" t="s">
        <v>401</v>
      </c>
      <c r="C18" s="787">
        <v>814</v>
      </c>
      <c r="D18" s="795"/>
      <c r="E18" s="795">
        <v>8</v>
      </c>
      <c r="F18" s="795"/>
      <c r="G18" s="796"/>
    </row>
    <row r="19" spans="1:13" ht="17.25" customHeight="1" x14ac:dyDescent="0.25">
      <c r="A19" s="741">
        <v>11</v>
      </c>
      <c r="B19" s="741" t="s">
        <v>402</v>
      </c>
      <c r="C19" s="787">
        <v>1988</v>
      </c>
      <c r="D19" s="795"/>
      <c r="E19" s="795">
        <v>43</v>
      </c>
      <c r="F19" s="795"/>
      <c r="G19" s="795"/>
    </row>
    <row r="20" spans="1:13" ht="17.25" customHeight="1" x14ac:dyDescent="0.25">
      <c r="A20" s="741">
        <v>12</v>
      </c>
      <c r="B20" s="741" t="s">
        <v>403</v>
      </c>
      <c r="C20" s="787">
        <v>1255</v>
      </c>
      <c r="D20" s="795"/>
      <c r="E20" s="795">
        <v>36</v>
      </c>
      <c r="F20" s="795"/>
      <c r="G20" s="795"/>
    </row>
    <row r="21" spans="1:13" ht="17.25" customHeight="1" x14ac:dyDescent="0.25">
      <c r="A21" s="741">
        <v>13</v>
      </c>
      <c r="B21" s="741" t="s">
        <v>404</v>
      </c>
      <c r="C21" s="787">
        <v>1066</v>
      </c>
      <c r="D21" s="795"/>
      <c r="E21" s="795">
        <v>4</v>
      </c>
      <c r="F21" s="795"/>
      <c r="G21" s="795"/>
    </row>
    <row r="22" spans="1:13" ht="17.25" customHeight="1" x14ac:dyDescent="0.2">
      <c r="A22" s="741" t="s">
        <v>18</v>
      </c>
      <c r="B22" s="741"/>
      <c r="C22" s="376">
        <f>SUM(C9:C21)</f>
        <v>17664</v>
      </c>
      <c r="D22" s="376">
        <f t="shared" ref="D22:G22" si="0">SUM(D9:D21)</f>
        <v>0</v>
      </c>
      <c r="E22" s="376">
        <f t="shared" si="0"/>
        <v>955</v>
      </c>
      <c r="F22" s="376">
        <f t="shared" si="0"/>
        <v>0</v>
      </c>
      <c r="G22" s="376">
        <f t="shared" si="0"/>
        <v>0</v>
      </c>
    </row>
    <row r="24" spans="1:13" x14ac:dyDescent="0.2">
      <c r="A24" s="115"/>
      <c r="E24" s="926">
        <f>E22/C22</f>
        <v>5.4064764492753624E-2</v>
      </c>
    </row>
    <row r="27" spans="1:13" ht="15" customHeight="1" x14ac:dyDescent="0.2">
      <c r="A27" s="763"/>
      <c r="B27" s="763"/>
      <c r="C27" s="763"/>
      <c r="D27" s="763"/>
      <c r="E27" s="763"/>
      <c r="F27" s="1094" t="s">
        <v>12</v>
      </c>
      <c r="G27" s="1094"/>
      <c r="H27" s="764"/>
      <c r="I27" s="764"/>
    </row>
    <row r="28" spans="1:13" ht="15" customHeight="1" x14ac:dyDescent="0.2">
      <c r="A28" s="763"/>
      <c r="B28" s="763"/>
      <c r="C28" s="763"/>
      <c r="D28" s="763"/>
      <c r="E28" s="763"/>
      <c r="F28" s="1094" t="s">
        <v>13</v>
      </c>
      <c r="G28" s="1094"/>
      <c r="H28" s="764"/>
      <c r="I28" s="764"/>
    </row>
    <row r="29" spans="1:13" ht="15" customHeight="1" x14ac:dyDescent="0.2">
      <c r="A29" s="763"/>
      <c r="B29" s="763"/>
      <c r="C29" s="763"/>
      <c r="D29" s="763"/>
      <c r="E29" s="763"/>
      <c r="F29" s="1094" t="s">
        <v>88</v>
      </c>
      <c r="G29" s="1094"/>
      <c r="H29" s="764"/>
      <c r="I29" s="764"/>
    </row>
    <row r="30" spans="1:13" x14ac:dyDescent="0.2">
      <c r="A30" s="763" t="s">
        <v>11</v>
      </c>
      <c r="C30" s="763"/>
      <c r="D30" s="763"/>
      <c r="E30" s="763"/>
      <c r="F30" s="1230" t="s">
        <v>85</v>
      </c>
      <c r="G30" s="1230"/>
      <c r="H30" s="763"/>
      <c r="I30" s="763"/>
    </row>
    <row r="31" spans="1:13" x14ac:dyDescent="0.2">
      <c r="A31" s="763"/>
      <c r="B31" s="763"/>
      <c r="C31" s="763"/>
      <c r="D31" s="763"/>
      <c r="E31" s="763"/>
      <c r="F31" s="763"/>
      <c r="G31" s="763"/>
      <c r="H31" s="763"/>
      <c r="I31" s="763"/>
      <c r="J31" s="763"/>
      <c r="K31" s="763"/>
      <c r="L31" s="763"/>
      <c r="M31" s="763"/>
    </row>
  </sheetData>
  <mergeCells count="8">
    <mergeCell ref="F29:G29"/>
    <mergeCell ref="F30:G30"/>
    <mergeCell ref="A1:F1"/>
    <mergeCell ref="A2:G2"/>
    <mergeCell ref="A4:G4"/>
    <mergeCell ref="F6:G6"/>
    <mergeCell ref="F27:G27"/>
    <mergeCell ref="F28:G28"/>
  </mergeCells>
  <printOptions horizontalCentered="1"/>
  <pageMargins left="0.70866141732283472" right="0.70866141732283472" top="0.23622047244094491" bottom="0"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O32"/>
  <sheetViews>
    <sheetView view="pageBreakPreview" topLeftCell="A16" zoomScaleSheetLayoutView="100" workbookViewId="0">
      <selection activeCell="P18" sqref="P18"/>
    </sheetView>
  </sheetViews>
  <sheetFormatPr defaultRowHeight="12.75" x14ac:dyDescent="0.2"/>
  <cols>
    <col min="1" max="1" width="8.28515625" style="827" customWidth="1"/>
    <col min="2" max="2" width="13.5703125" style="827" customWidth="1"/>
    <col min="3" max="3" width="8.7109375" style="827" customWidth="1"/>
    <col min="4" max="4" width="12.7109375" style="827" customWidth="1"/>
    <col min="5" max="5" width="11.7109375" style="827" customWidth="1"/>
    <col min="6" max="6" width="13.42578125" style="827" customWidth="1"/>
    <col min="7" max="7" width="10.5703125" style="827" customWidth="1"/>
    <col min="8" max="8" width="10.140625" style="827" customWidth="1"/>
    <col min="9" max="9" width="14.42578125" style="827" customWidth="1"/>
    <col min="10" max="10" width="11.85546875" style="827" customWidth="1"/>
    <col min="11" max="11" width="9.140625" style="827"/>
    <col min="12" max="12" width="13.42578125" style="827" customWidth="1"/>
    <col min="13" max="13" width="11.28515625" style="827" customWidth="1"/>
    <col min="14" max="14" width="11.42578125" style="827" customWidth="1"/>
    <col min="15" max="15" width="14.7109375" style="827" customWidth="1"/>
    <col min="16" max="256" width="9.140625" style="827"/>
    <col min="257" max="257" width="8.28515625" style="827" customWidth="1"/>
    <col min="258" max="258" width="10.140625" style="827" customWidth="1"/>
    <col min="259" max="259" width="8.7109375" style="827" customWidth="1"/>
    <col min="260" max="260" width="12.7109375" style="827" customWidth="1"/>
    <col min="261" max="261" width="10.5703125" style="827" customWidth="1"/>
    <col min="262" max="262" width="12.42578125" style="827" customWidth="1"/>
    <col min="263" max="263" width="7.5703125" style="827" customWidth="1"/>
    <col min="264" max="264" width="7.85546875" style="827" customWidth="1"/>
    <col min="265" max="265" width="10" style="827" customWidth="1"/>
    <col min="266" max="267" width="9.140625" style="827"/>
    <col min="268" max="268" width="10.85546875" style="827" customWidth="1"/>
    <col min="269" max="512" width="9.140625" style="827"/>
    <col min="513" max="513" width="8.28515625" style="827" customWidth="1"/>
    <col min="514" max="514" width="10.140625" style="827" customWidth="1"/>
    <col min="515" max="515" width="8.7109375" style="827" customWidth="1"/>
    <col min="516" max="516" width="12.7109375" style="827" customWidth="1"/>
    <col min="517" max="517" width="10.5703125" style="827" customWidth="1"/>
    <col min="518" max="518" width="12.42578125" style="827" customWidth="1"/>
    <col min="519" max="519" width="7.5703125" style="827" customWidth="1"/>
    <col min="520" max="520" width="7.85546875" style="827" customWidth="1"/>
    <col min="521" max="521" width="10" style="827" customWidth="1"/>
    <col min="522" max="523" width="9.140625" style="827"/>
    <col min="524" max="524" width="10.85546875" style="827" customWidth="1"/>
    <col min="525" max="768" width="9.140625" style="827"/>
    <col min="769" max="769" width="8.28515625" style="827" customWidth="1"/>
    <col min="770" max="770" width="10.140625" style="827" customWidth="1"/>
    <col min="771" max="771" width="8.7109375" style="827" customWidth="1"/>
    <col min="772" max="772" width="12.7109375" style="827" customWidth="1"/>
    <col min="773" max="773" width="10.5703125" style="827" customWidth="1"/>
    <col min="774" max="774" width="12.42578125" style="827" customWidth="1"/>
    <col min="775" max="775" width="7.5703125" style="827" customWidth="1"/>
    <col min="776" max="776" width="7.85546875" style="827" customWidth="1"/>
    <col min="777" max="777" width="10" style="827" customWidth="1"/>
    <col min="778" max="779" width="9.140625" style="827"/>
    <col min="780" max="780" width="10.85546875" style="827" customWidth="1"/>
    <col min="781" max="1024" width="9.140625" style="827"/>
    <col min="1025" max="1025" width="8.28515625" style="827" customWidth="1"/>
    <col min="1026" max="1026" width="10.140625" style="827" customWidth="1"/>
    <col min="1027" max="1027" width="8.7109375" style="827" customWidth="1"/>
    <col min="1028" max="1028" width="12.7109375" style="827" customWidth="1"/>
    <col min="1029" max="1029" width="10.5703125" style="827" customWidth="1"/>
    <col min="1030" max="1030" width="12.42578125" style="827" customWidth="1"/>
    <col min="1031" max="1031" width="7.5703125" style="827" customWidth="1"/>
    <col min="1032" max="1032" width="7.85546875" style="827" customWidth="1"/>
    <col min="1033" max="1033" width="10" style="827" customWidth="1"/>
    <col min="1034" max="1035" width="9.140625" style="827"/>
    <col min="1036" max="1036" width="10.85546875" style="827" customWidth="1"/>
    <col min="1037" max="1280" width="9.140625" style="827"/>
    <col min="1281" max="1281" width="8.28515625" style="827" customWidth="1"/>
    <col min="1282" max="1282" width="10.140625" style="827" customWidth="1"/>
    <col min="1283" max="1283" width="8.7109375" style="827" customWidth="1"/>
    <col min="1284" max="1284" width="12.7109375" style="827" customWidth="1"/>
    <col min="1285" max="1285" width="10.5703125" style="827" customWidth="1"/>
    <col min="1286" max="1286" width="12.42578125" style="827" customWidth="1"/>
    <col min="1287" max="1287" width="7.5703125" style="827" customWidth="1"/>
    <col min="1288" max="1288" width="7.85546875" style="827" customWidth="1"/>
    <col min="1289" max="1289" width="10" style="827" customWidth="1"/>
    <col min="1290" max="1291" width="9.140625" style="827"/>
    <col min="1292" max="1292" width="10.85546875" style="827" customWidth="1"/>
    <col min="1293" max="1536" width="9.140625" style="827"/>
    <col min="1537" max="1537" width="8.28515625" style="827" customWidth="1"/>
    <col min="1538" max="1538" width="10.140625" style="827" customWidth="1"/>
    <col min="1539" max="1539" width="8.7109375" style="827" customWidth="1"/>
    <col min="1540" max="1540" width="12.7109375" style="827" customWidth="1"/>
    <col min="1541" max="1541" width="10.5703125" style="827" customWidth="1"/>
    <col min="1542" max="1542" width="12.42578125" style="827" customWidth="1"/>
    <col min="1543" max="1543" width="7.5703125" style="827" customWidth="1"/>
    <col min="1544" max="1544" width="7.85546875" style="827" customWidth="1"/>
    <col min="1545" max="1545" width="10" style="827" customWidth="1"/>
    <col min="1546" max="1547" width="9.140625" style="827"/>
    <col min="1548" max="1548" width="10.85546875" style="827" customWidth="1"/>
    <col min="1549" max="1792" width="9.140625" style="827"/>
    <col min="1793" max="1793" width="8.28515625" style="827" customWidth="1"/>
    <col min="1794" max="1794" width="10.140625" style="827" customWidth="1"/>
    <col min="1795" max="1795" width="8.7109375" style="827" customWidth="1"/>
    <col min="1796" max="1796" width="12.7109375" style="827" customWidth="1"/>
    <col min="1797" max="1797" width="10.5703125" style="827" customWidth="1"/>
    <col min="1798" max="1798" width="12.42578125" style="827" customWidth="1"/>
    <col min="1799" max="1799" width="7.5703125" style="827" customWidth="1"/>
    <col min="1800" max="1800" width="7.85546875" style="827" customWidth="1"/>
    <col min="1801" max="1801" width="10" style="827" customWidth="1"/>
    <col min="1802" max="1803" width="9.140625" style="827"/>
    <col min="1804" max="1804" width="10.85546875" style="827" customWidth="1"/>
    <col min="1805" max="2048" width="9.140625" style="827"/>
    <col min="2049" max="2049" width="8.28515625" style="827" customWidth="1"/>
    <col min="2050" max="2050" width="10.140625" style="827" customWidth="1"/>
    <col min="2051" max="2051" width="8.7109375" style="827" customWidth="1"/>
    <col min="2052" max="2052" width="12.7109375" style="827" customWidth="1"/>
    <col min="2053" max="2053" width="10.5703125" style="827" customWidth="1"/>
    <col min="2054" max="2054" width="12.42578125" style="827" customWidth="1"/>
    <col min="2055" max="2055" width="7.5703125" style="827" customWidth="1"/>
    <col min="2056" max="2056" width="7.85546875" style="827" customWidth="1"/>
    <col min="2057" max="2057" width="10" style="827" customWidth="1"/>
    <col min="2058" max="2059" width="9.140625" style="827"/>
    <col min="2060" max="2060" width="10.85546875" style="827" customWidth="1"/>
    <col min="2061" max="2304" width="9.140625" style="827"/>
    <col min="2305" max="2305" width="8.28515625" style="827" customWidth="1"/>
    <col min="2306" max="2306" width="10.140625" style="827" customWidth="1"/>
    <col min="2307" max="2307" width="8.7109375" style="827" customWidth="1"/>
    <col min="2308" max="2308" width="12.7109375" style="827" customWidth="1"/>
    <col min="2309" max="2309" width="10.5703125" style="827" customWidth="1"/>
    <col min="2310" max="2310" width="12.42578125" style="827" customWidth="1"/>
    <col min="2311" max="2311" width="7.5703125" style="827" customWidth="1"/>
    <col min="2312" max="2312" width="7.85546875" style="827" customWidth="1"/>
    <col min="2313" max="2313" width="10" style="827" customWidth="1"/>
    <col min="2314" max="2315" width="9.140625" style="827"/>
    <col min="2316" max="2316" width="10.85546875" style="827" customWidth="1"/>
    <col min="2317" max="2560" width="9.140625" style="827"/>
    <col min="2561" max="2561" width="8.28515625" style="827" customWidth="1"/>
    <col min="2562" max="2562" width="10.140625" style="827" customWidth="1"/>
    <col min="2563" max="2563" width="8.7109375" style="827" customWidth="1"/>
    <col min="2564" max="2564" width="12.7109375" style="827" customWidth="1"/>
    <col min="2565" max="2565" width="10.5703125" style="827" customWidth="1"/>
    <col min="2566" max="2566" width="12.42578125" style="827" customWidth="1"/>
    <col min="2567" max="2567" width="7.5703125" style="827" customWidth="1"/>
    <col min="2568" max="2568" width="7.85546875" style="827" customWidth="1"/>
    <col min="2569" max="2569" width="10" style="827" customWidth="1"/>
    <col min="2570" max="2571" width="9.140625" style="827"/>
    <col min="2572" max="2572" width="10.85546875" style="827" customWidth="1"/>
    <col min="2573" max="2816" width="9.140625" style="827"/>
    <col min="2817" max="2817" width="8.28515625" style="827" customWidth="1"/>
    <col min="2818" max="2818" width="10.140625" style="827" customWidth="1"/>
    <col min="2819" max="2819" width="8.7109375" style="827" customWidth="1"/>
    <col min="2820" max="2820" width="12.7109375" style="827" customWidth="1"/>
    <col min="2821" max="2821" width="10.5703125" style="827" customWidth="1"/>
    <col min="2822" max="2822" width="12.42578125" style="827" customWidth="1"/>
    <col min="2823" max="2823" width="7.5703125" style="827" customWidth="1"/>
    <col min="2824" max="2824" width="7.85546875" style="827" customWidth="1"/>
    <col min="2825" max="2825" width="10" style="827" customWidth="1"/>
    <col min="2826" max="2827" width="9.140625" style="827"/>
    <col min="2828" max="2828" width="10.85546875" style="827" customWidth="1"/>
    <col min="2829" max="3072" width="9.140625" style="827"/>
    <col min="3073" max="3073" width="8.28515625" style="827" customWidth="1"/>
    <col min="3074" max="3074" width="10.140625" style="827" customWidth="1"/>
    <col min="3075" max="3075" width="8.7109375" style="827" customWidth="1"/>
    <col min="3076" max="3076" width="12.7109375" style="827" customWidth="1"/>
    <col min="3077" max="3077" width="10.5703125" style="827" customWidth="1"/>
    <col min="3078" max="3078" width="12.42578125" style="827" customWidth="1"/>
    <col min="3079" max="3079" width="7.5703125" style="827" customWidth="1"/>
    <col min="3080" max="3080" width="7.85546875" style="827" customWidth="1"/>
    <col min="3081" max="3081" width="10" style="827" customWidth="1"/>
    <col min="3082" max="3083" width="9.140625" style="827"/>
    <col min="3084" max="3084" width="10.85546875" style="827" customWidth="1"/>
    <col min="3085" max="3328" width="9.140625" style="827"/>
    <col min="3329" max="3329" width="8.28515625" style="827" customWidth="1"/>
    <col min="3330" max="3330" width="10.140625" style="827" customWidth="1"/>
    <col min="3331" max="3331" width="8.7109375" style="827" customWidth="1"/>
    <col min="3332" max="3332" width="12.7109375" style="827" customWidth="1"/>
    <col min="3333" max="3333" width="10.5703125" style="827" customWidth="1"/>
    <col min="3334" max="3334" width="12.42578125" style="827" customWidth="1"/>
    <col min="3335" max="3335" width="7.5703125" style="827" customWidth="1"/>
    <col min="3336" max="3336" width="7.85546875" style="827" customWidth="1"/>
    <col min="3337" max="3337" width="10" style="827" customWidth="1"/>
    <col min="3338" max="3339" width="9.140625" style="827"/>
    <col min="3340" max="3340" width="10.85546875" style="827" customWidth="1"/>
    <col min="3341" max="3584" width="9.140625" style="827"/>
    <col min="3585" max="3585" width="8.28515625" style="827" customWidth="1"/>
    <col min="3586" max="3586" width="10.140625" style="827" customWidth="1"/>
    <col min="3587" max="3587" width="8.7109375" style="827" customWidth="1"/>
    <col min="3588" max="3588" width="12.7109375" style="827" customWidth="1"/>
    <col min="3589" max="3589" width="10.5703125" style="827" customWidth="1"/>
    <col min="3590" max="3590" width="12.42578125" style="827" customWidth="1"/>
    <col min="3591" max="3591" width="7.5703125" style="827" customWidth="1"/>
    <col min="3592" max="3592" width="7.85546875" style="827" customWidth="1"/>
    <col min="3593" max="3593" width="10" style="827" customWidth="1"/>
    <col min="3594" max="3595" width="9.140625" style="827"/>
    <col min="3596" max="3596" width="10.85546875" style="827" customWidth="1"/>
    <col min="3597" max="3840" width="9.140625" style="827"/>
    <col min="3841" max="3841" width="8.28515625" style="827" customWidth="1"/>
    <col min="3842" max="3842" width="10.140625" style="827" customWidth="1"/>
    <col min="3843" max="3843" width="8.7109375" style="827" customWidth="1"/>
    <col min="3844" max="3844" width="12.7109375" style="827" customWidth="1"/>
    <col min="3845" max="3845" width="10.5703125" style="827" customWidth="1"/>
    <col min="3846" max="3846" width="12.42578125" style="827" customWidth="1"/>
    <col min="3847" max="3847" width="7.5703125" style="827" customWidth="1"/>
    <col min="3848" max="3848" width="7.85546875" style="827" customWidth="1"/>
    <col min="3849" max="3849" width="10" style="827" customWidth="1"/>
    <col min="3850" max="3851" width="9.140625" style="827"/>
    <col min="3852" max="3852" width="10.85546875" style="827" customWidth="1"/>
    <col min="3853" max="4096" width="9.140625" style="827"/>
    <col min="4097" max="4097" width="8.28515625" style="827" customWidth="1"/>
    <col min="4098" max="4098" width="10.140625" style="827" customWidth="1"/>
    <col min="4099" max="4099" width="8.7109375" style="827" customWidth="1"/>
    <col min="4100" max="4100" width="12.7109375" style="827" customWidth="1"/>
    <col min="4101" max="4101" width="10.5703125" style="827" customWidth="1"/>
    <col min="4102" max="4102" width="12.42578125" style="827" customWidth="1"/>
    <col min="4103" max="4103" width="7.5703125" style="827" customWidth="1"/>
    <col min="4104" max="4104" width="7.85546875" style="827" customWidth="1"/>
    <col min="4105" max="4105" width="10" style="827" customWidth="1"/>
    <col min="4106" max="4107" width="9.140625" style="827"/>
    <col min="4108" max="4108" width="10.85546875" style="827" customWidth="1"/>
    <col min="4109" max="4352" width="9.140625" style="827"/>
    <col min="4353" max="4353" width="8.28515625" style="827" customWidth="1"/>
    <col min="4354" max="4354" width="10.140625" style="827" customWidth="1"/>
    <col min="4355" max="4355" width="8.7109375" style="827" customWidth="1"/>
    <col min="4356" max="4356" width="12.7109375" style="827" customWidth="1"/>
    <col min="4357" max="4357" width="10.5703125" style="827" customWidth="1"/>
    <col min="4358" max="4358" width="12.42578125" style="827" customWidth="1"/>
    <col min="4359" max="4359" width="7.5703125" style="827" customWidth="1"/>
    <col min="4360" max="4360" width="7.85546875" style="827" customWidth="1"/>
    <col min="4361" max="4361" width="10" style="827" customWidth="1"/>
    <col min="4362" max="4363" width="9.140625" style="827"/>
    <col min="4364" max="4364" width="10.85546875" style="827" customWidth="1"/>
    <col min="4365" max="4608" width="9.140625" style="827"/>
    <col min="4609" max="4609" width="8.28515625" style="827" customWidth="1"/>
    <col min="4610" max="4610" width="10.140625" style="827" customWidth="1"/>
    <col min="4611" max="4611" width="8.7109375" style="827" customWidth="1"/>
    <col min="4612" max="4612" width="12.7109375" style="827" customWidth="1"/>
    <col min="4613" max="4613" width="10.5703125" style="827" customWidth="1"/>
    <col min="4614" max="4614" width="12.42578125" style="827" customWidth="1"/>
    <col min="4615" max="4615" width="7.5703125" style="827" customWidth="1"/>
    <col min="4616" max="4616" width="7.85546875" style="827" customWidth="1"/>
    <col min="4617" max="4617" width="10" style="827" customWidth="1"/>
    <col min="4618" max="4619" width="9.140625" style="827"/>
    <col min="4620" max="4620" width="10.85546875" style="827" customWidth="1"/>
    <col min="4621" max="4864" width="9.140625" style="827"/>
    <col min="4865" max="4865" width="8.28515625" style="827" customWidth="1"/>
    <col min="4866" max="4866" width="10.140625" style="827" customWidth="1"/>
    <col min="4867" max="4867" width="8.7109375" style="827" customWidth="1"/>
    <col min="4868" max="4868" width="12.7109375" style="827" customWidth="1"/>
    <col min="4869" max="4869" width="10.5703125" style="827" customWidth="1"/>
    <col min="4870" max="4870" width="12.42578125" style="827" customWidth="1"/>
    <col min="4871" max="4871" width="7.5703125" style="827" customWidth="1"/>
    <col min="4872" max="4872" width="7.85546875" style="827" customWidth="1"/>
    <col min="4873" max="4873" width="10" style="827" customWidth="1"/>
    <col min="4874" max="4875" width="9.140625" style="827"/>
    <col min="4876" max="4876" width="10.85546875" style="827" customWidth="1"/>
    <col min="4877" max="5120" width="9.140625" style="827"/>
    <col min="5121" max="5121" width="8.28515625" style="827" customWidth="1"/>
    <col min="5122" max="5122" width="10.140625" style="827" customWidth="1"/>
    <col min="5123" max="5123" width="8.7109375" style="827" customWidth="1"/>
    <col min="5124" max="5124" width="12.7109375" style="827" customWidth="1"/>
    <col min="5125" max="5125" width="10.5703125" style="827" customWidth="1"/>
    <col min="5126" max="5126" width="12.42578125" style="827" customWidth="1"/>
    <col min="5127" max="5127" width="7.5703125" style="827" customWidth="1"/>
    <col min="5128" max="5128" width="7.85546875" style="827" customWidth="1"/>
    <col min="5129" max="5129" width="10" style="827" customWidth="1"/>
    <col min="5130" max="5131" width="9.140625" style="827"/>
    <col min="5132" max="5132" width="10.85546875" style="827" customWidth="1"/>
    <col min="5133" max="5376" width="9.140625" style="827"/>
    <col min="5377" max="5377" width="8.28515625" style="827" customWidth="1"/>
    <col min="5378" max="5378" width="10.140625" style="827" customWidth="1"/>
    <col min="5379" max="5379" width="8.7109375" style="827" customWidth="1"/>
    <col min="5380" max="5380" width="12.7109375" style="827" customWidth="1"/>
    <col min="5381" max="5381" width="10.5703125" style="827" customWidth="1"/>
    <col min="5382" max="5382" width="12.42578125" style="827" customWidth="1"/>
    <col min="5383" max="5383" width="7.5703125" style="827" customWidth="1"/>
    <col min="5384" max="5384" width="7.85546875" style="827" customWidth="1"/>
    <col min="5385" max="5385" width="10" style="827" customWidth="1"/>
    <col min="5386" max="5387" width="9.140625" style="827"/>
    <col min="5388" max="5388" width="10.85546875" style="827" customWidth="1"/>
    <col min="5389" max="5632" width="9.140625" style="827"/>
    <col min="5633" max="5633" width="8.28515625" style="827" customWidth="1"/>
    <col min="5634" max="5634" width="10.140625" style="827" customWidth="1"/>
    <col min="5635" max="5635" width="8.7109375" style="827" customWidth="1"/>
    <col min="5636" max="5636" width="12.7109375" style="827" customWidth="1"/>
    <col min="5637" max="5637" width="10.5703125" style="827" customWidth="1"/>
    <col min="5638" max="5638" width="12.42578125" style="827" customWidth="1"/>
    <col min="5639" max="5639" width="7.5703125" style="827" customWidth="1"/>
    <col min="5640" max="5640" width="7.85546875" style="827" customWidth="1"/>
    <col min="5641" max="5641" width="10" style="827" customWidth="1"/>
    <col min="5642" max="5643" width="9.140625" style="827"/>
    <col min="5644" max="5644" width="10.85546875" style="827" customWidth="1"/>
    <col min="5645" max="5888" width="9.140625" style="827"/>
    <col min="5889" max="5889" width="8.28515625" style="827" customWidth="1"/>
    <col min="5890" max="5890" width="10.140625" style="827" customWidth="1"/>
    <col min="5891" max="5891" width="8.7109375" style="827" customWidth="1"/>
    <col min="5892" max="5892" width="12.7109375" style="827" customWidth="1"/>
    <col min="5893" max="5893" width="10.5703125" style="827" customWidth="1"/>
    <col min="5894" max="5894" width="12.42578125" style="827" customWidth="1"/>
    <col min="5895" max="5895" width="7.5703125" style="827" customWidth="1"/>
    <col min="5896" max="5896" width="7.85546875" style="827" customWidth="1"/>
    <col min="5897" max="5897" width="10" style="827" customWidth="1"/>
    <col min="5898" max="5899" width="9.140625" style="827"/>
    <col min="5900" max="5900" width="10.85546875" style="827" customWidth="1"/>
    <col min="5901" max="6144" width="9.140625" style="827"/>
    <col min="6145" max="6145" width="8.28515625" style="827" customWidth="1"/>
    <col min="6146" max="6146" width="10.140625" style="827" customWidth="1"/>
    <col min="6147" max="6147" width="8.7109375" style="827" customWidth="1"/>
    <col min="6148" max="6148" width="12.7109375" style="827" customWidth="1"/>
    <col min="6149" max="6149" width="10.5703125" style="827" customWidth="1"/>
    <col min="6150" max="6150" width="12.42578125" style="827" customWidth="1"/>
    <col min="6151" max="6151" width="7.5703125" style="827" customWidth="1"/>
    <col min="6152" max="6152" width="7.85546875" style="827" customWidth="1"/>
    <col min="6153" max="6153" width="10" style="827" customWidth="1"/>
    <col min="6154" max="6155" width="9.140625" style="827"/>
    <col min="6156" max="6156" width="10.85546875" style="827" customWidth="1"/>
    <col min="6157" max="6400" width="9.140625" style="827"/>
    <col min="6401" max="6401" width="8.28515625" style="827" customWidth="1"/>
    <col min="6402" max="6402" width="10.140625" style="827" customWidth="1"/>
    <col min="6403" max="6403" width="8.7109375" style="827" customWidth="1"/>
    <col min="6404" max="6404" width="12.7109375" style="827" customWidth="1"/>
    <col min="6405" max="6405" width="10.5703125" style="827" customWidth="1"/>
    <col min="6406" max="6406" width="12.42578125" style="827" customWidth="1"/>
    <col min="6407" max="6407" width="7.5703125" style="827" customWidth="1"/>
    <col min="6408" max="6408" width="7.85546875" style="827" customWidth="1"/>
    <col min="6409" max="6409" width="10" style="827" customWidth="1"/>
    <col min="6410" max="6411" width="9.140625" style="827"/>
    <col min="6412" max="6412" width="10.85546875" style="827" customWidth="1"/>
    <col min="6413" max="6656" width="9.140625" style="827"/>
    <col min="6657" max="6657" width="8.28515625" style="827" customWidth="1"/>
    <col min="6658" max="6658" width="10.140625" style="827" customWidth="1"/>
    <col min="6659" max="6659" width="8.7109375" style="827" customWidth="1"/>
    <col min="6660" max="6660" width="12.7109375" style="827" customWidth="1"/>
    <col min="6661" max="6661" width="10.5703125" style="827" customWidth="1"/>
    <col min="6662" max="6662" width="12.42578125" style="827" customWidth="1"/>
    <col min="6663" max="6663" width="7.5703125" style="827" customWidth="1"/>
    <col min="6664" max="6664" width="7.85546875" style="827" customWidth="1"/>
    <col min="6665" max="6665" width="10" style="827" customWidth="1"/>
    <col min="6666" max="6667" width="9.140625" style="827"/>
    <col min="6668" max="6668" width="10.85546875" style="827" customWidth="1"/>
    <col min="6669" max="6912" width="9.140625" style="827"/>
    <col min="6913" max="6913" width="8.28515625" style="827" customWidth="1"/>
    <col min="6914" max="6914" width="10.140625" style="827" customWidth="1"/>
    <col min="6915" max="6915" width="8.7109375" style="827" customWidth="1"/>
    <col min="6916" max="6916" width="12.7109375" style="827" customWidth="1"/>
    <col min="6917" max="6917" width="10.5703125" style="827" customWidth="1"/>
    <col min="6918" max="6918" width="12.42578125" style="827" customWidth="1"/>
    <col min="6919" max="6919" width="7.5703125" style="827" customWidth="1"/>
    <col min="6920" max="6920" width="7.85546875" style="827" customWidth="1"/>
    <col min="6921" max="6921" width="10" style="827" customWidth="1"/>
    <col min="6922" max="6923" width="9.140625" style="827"/>
    <col min="6924" max="6924" width="10.85546875" style="827" customWidth="1"/>
    <col min="6925" max="7168" width="9.140625" style="827"/>
    <col min="7169" max="7169" width="8.28515625" style="827" customWidth="1"/>
    <col min="7170" max="7170" width="10.140625" style="827" customWidth="1"/>
    <col min="7171" max="7171" width="8.7109375" style="827" customWidth="1"/>
    <col min="7172" max="7172" width="12.7109375" style="827" customWidth="1"/>
    <col min="7173" max="7173" width="10.5703125" style="827" customWidth="1"/>
    <col min="7174" max="7174" width="12.42578125" style="827" customWidth="1"/>
    <col min="7175" max="7175" width="7.5703125" style="827" customWidth="1"/>
    <col min="7176" max="7176" width="7.85546875" style="827" customWidth="1"/>
    <col min="7177" max="7177" width="10" style="827" customWidth="1"/>
    <col min="7178" max="7179" width="9.140625" style="827"/>
    <col min="7180" max="7180" width="10.85546875" style="827" customWidth="1"/>
    <col min="7181" max="7424" width="9.140625" style="827"/>
    <col min="7425" max="7425" width="8.28515625" style="827" customWidth="1"/>
    <col min="7426" max="7426" width="10.140625" style="827" customWidth="1"/>
    <col min="7427" max="7427" width="8.7109375" style="827" customWidth="1"/>
    <col min="7428" max="7428" width="12.7109375" style="827" customWidth="1"/>
    <col min="7429" max="7429" width="10.5703125" style="827" customWidth="1"/>
    <col min="7430" max="7430" width="12.42578125" style="827" customWidth="1"/>
    <col min="7431" max="7431" width="7.5703125" style="827" customWidth="1"/>
    <col min="7432" max="7432" width="7.85546875" style="827" customWidth="1"/>
    <col min="7433" max="7433" width="10" style="827" customWidth="1"/>
    <col min="7434" max="7435" width="9.140625" style="827"/>
    <col min="7436" max="7436" width="10.85546875" style="827" customWidth="1"/>
    <col min="7437" max="7680" width="9.140625" style="827"/>
    <col min="7681" max="7681" width="8.28515625" style="827" customWidth="1"/>
    <col min="7682" max="7682" width="10.140625" style="827" customWidth="1"/>
    <col min="7683" max="7683" width="8.7109375" style="827" customWidth="1"/>
    <col min="7684" max="7684" width="12.7109375" style="827" customWidth="1"/>
    <col min="7685" max="7685" width="10.5703125" style="827" customWidth="1"/>
    <col min="7686" max="7686" width="12.42578125" style="827" customWidth="1"/>
    <col min="7687" max="7687" width="7.5703125" style="827" customWidth="1"/>
    <col min="7688" max="7688" width="7.85546875" style="827" customWidth="1"/>
    <col min="7689" max="7689" width="10" style="827" customWidth="1"/>
    <col min="7690" max="7691" width="9.140625" style="827"/>
    <col min="7692" max="7692" width="10.85546875" style="827" customWidth="1"/>
    <col min="7693" max="7936" width="9.140625" style="827"/>
    <col min="7937" max="7937" width="8.28515625" style="827" customWidth="1"/>
    <col min="7938" max="7938" width="10.140625" style="827" customWidth="1"/>
    <col min="7939" max="7939" width="8.7109375" style="827" customWidth="1"/>
    <col min="7940" max="7940" width="12.7109375" style="827" customWidth="1"/>
    <col min="7941" max="7941" width="10.5703125" style="827" customWidth="1"/>
    <col min="7942" max="7942" width="12.42578125" style="827" customWidth="1"/>
    <col min="7943" max="7943" width="7.5703125" style="827" customWidth="1"/>
    <col min="7944" max="7944" width="7.85546875" style="827" customWidth="1"/>
    <col min="7945" max="7945" width="10" style="827" customWidth="1"/>
    <col min="7946" max="7947" width="9.140625" style="827"/>
    <col min="7948" max="7948" width="10.85546875" style="827" customWidth="1"/>
    <col min="7949" max="8192" width="9.140625" style="827"/>
    <col min="8193" max="8193" width="8.28515625" style="827" customWidth="1"/>
    <col min="8194" max="8194" width="10.140625" style="827" customWidth="1"/>
    <col min="8195" max="8195" width="8.7109375" style="827" customWidth="1"/>
    <col min="8196" max="8196" width="12.7109375" style="827" customWidth="1"/>
    <col min="8197" max="8197" width="10.5703125" style="827" customWidth="1"/>
    <col min="8198" max="8198" width="12.42578125" style="827" customWidth="1"/>
    <col min="8199" max="8199" width="7.5703125" style="827" customWidth="1"/>
    <col min="8200" max="8200" width="7.85546875" style="827" customWidth="1"/>
    <col min="8201" max="8201" width="10" style="827" customWidth="1"/>
    <col min="8202" max="8203" width="9.140625" style="827"/>
    <col min="8204" max="8204" width="10.85546875" style="827" customWidth="1"/>
    <col min="8205" max="8448" width="9.140625" style="827"/>
    <col min="8449" max="8449" width="8.28515625" style="827" customWidth="1"/>
    <col min="8450" max="8450" width="10.140625" style="827" customWidth="1"/>
    <col min="8451" max="8451" width="8.7109375" style="827" customWidth="1"/>
    <col min="8452" max="8452" width="12.7109375" style="827" customWidth="1"/>
    <col min="8453" max="8453" width="10.5703125" style="827" customWidth="1"/>
    <col min="8454" max="8454" width="12.42578125" style="827" customWidth="1"/>
    <col min="8455" max="8455" width="7.5703125" style="827" customWidth="1"/>
    <col min="8456" max="8456" width="7.85546875" style="827" customWidth="1"/>
    <col min="8457" max="8457" width="10" style="827" customWidth="1"/>
    <col min="8458" max="8459" width="9.140625" style="827"/>
    <col min="8460" max="8460" width="10.85546875" style="827" customWidth="1"/>
    <col min="8461" max="8704" width="9.140625" style="827"/>
    <col min="8705" max="8705" width="8.28515625" style="827" customWidth="1"/>
    <col min="8706" max="8706" width="10.140625" style="827" customWidth="1"/>
    <col min="8707" max="8707" width="8.7109375" style="827" customWidth="1"/>
    <col min="8708" max="8708" width="12.7109375" style="827" customWidth="1"/>
    <col min="8709" max="8709" width="10.5703125" style="827" customWidth="1"/>
    <col min="8710" max="8710" width="12.42578125" style="827" customWidth="1"/>
    <col min="8711" max="8711" width="7.5703125" style="827" customWidth="1"/>
    <col min="8712" max="8712" width="7.85546875" style="827" customWidth="1"/>
    <col min="8713" max="8713" width="10" style="827" customWidth="1"/>
    <col min="8714" max="8715" width="9.140625" style="827"/>
    <col min="8716" max="8716" width="10.85546875" style="827" customWidth="1"/>
    <col min="8717" max="8960" width="9.140625" style="827"/>
    <col min="8961" max="8961" width="8.28515625" style="827" customWidth="1"/>
    <col min="8962" max="8962" width="10.140625" style="827" customWidth="1"/>
    <col min="8963" max="8963" width="8.7109375" style="827" customWidth="1"/>
    <col min="8964" max="8964" width="12.7109375" style="827" customWidth="1"/>
    <col min="8965" max="8965" width="10.5703125" style="827" customWidth="1"/>
    <col min="8966" max="8966" width="12.42578125" style="827" customWidth="1"/>
    <col min="8967" max="8967" width="7.5703125" style="827" customWidth="1"/>
    <col min="8968" max="8968" width="7.85546875" style="827" customWidth="1"/>
    <col min="8969" max="8969" width="10" style="827" customWidth="1"/>
    <col min="8970" max="8971" width="9.140625" style="827"/>
    <col min="8972" max="8972" width="10.85546875" style="827" customWidth="1"/>
    <col min="8973" max="9216" width="9.140625" style="827"/>
    <col min="9217" max="9217" width="8.28515625" style="827" customWidth="1"/>
    <col min="9218" max="9218" width="10.140625" style="827" customWidth="1"/>
    <col min="9219" max="9219" width="8.7109375" style="827" customWidth="1"/>
    <col min="9220" max="9220" width="12.7109375" style="827" customWidth="1"/>
    <col min="9221" max="9221" width="10.5703125" style="827" customWidth="1"/>
    <col min="9222" max="9222" width="12.42578125" style="827" customWidth="1"/>
    <col min="9223" max="9223" width="7.5703125" style="827" customWidth="1"/>
    <col min="9224" max="9224" width="7.85546875" style="827" customWidth="1"/>
    <col min="9225" max="9225" width="10" style="827" customWidth="1"/>
    <col min="9226" max="9227" width="9.140625" style="827"/>
    <col min="9228" max="9228" width="10.85546875" style="827" customWidth="1"/>
    <col min="9229" max="9472" width="9.140625" style="827"/>
    <col min="9473" max="9473" width="8.28515625" style="827" customWidth="1"/>
    <col min="9474" max="9474" width="10.140625" style="827" customWidth="1"/>
    <col min="9475" max="9475" width="8.7109375" style="827" customWidth="1"/>
    <col min="9476" max="9476" width="12.7109375" style="827" customWidth="1"/>
    <col min="9477" max="9477" width="10.5703125" style="827" customWidth="1"/>
    <col min="9478" max="9478" width="12.42578125" style="827" customWidth="1"/>
    <col min="9479" max="9479" width="7.5703125" style="827" customWidth="1"/>
    <col min="9480" max="9480" width="7.85546875" style="827" customWidth="1"/>
    <col min="9481" max="9481" width="10" style="827" customWidth="1"/>
    <col min="9482" max="9483" width="9.140625" style="827"/>
    <col min="9484" max="9484" width="10.85546875" style="827" customWidth="1"/>
    <col min="9485" max="9728" width="9.140625" style="827"/>
    <col min="9729" max="9729" width="8.28515625" style="827" customWidth="1"/>
    <col min="9730" max="9730" width="10.140625" style="827" customWidth="1"/>
    <col min="9731" max="9731" width="8.7109375" style="827" customWidth="1"/>
    <col min="9732" max="9732" width="12.7109375" style="827" customWidth="1"/>
    <col min="9733" max="9733" width="10.5703125" style="827" customWidth="1"/>
    <col min="9734" max="9734" width="12.42578125" style="827" customWidth="1"/>
    <col min="9735" max="9735" width="7.5703125" style="827" customWidth="1"/>
    <col min="9736" max="9736" width="7.85546875" style="827" customWidth="1"/>
    <col min="9737" max="9737" width="10" style="827" customWidth="1"/>
    <col min="9738" max="9739" width="9.140625" style="827"/>
    <col min="9740" max="9740" width="10.85546875" style="827" customWidth="1"/>
    <col min="9741" max="9984" width="9.140625" style="827"/>
    <col min="9985" max="9985" width="8.28515625" style="827" customWidth="1"/>
    <col min="9986" max="9986" width="10.140625" style="827" customWidth="1"/>
    <col min="9987" max="9987" width="8.7109375" style="827" customWidth="1"/>
    <col min="9988" max="9988" width="12.7109375" style="827" customWidth="1"/>
    <col min="9989" max="9989" width="10.5703125" style="827" customWidth="1"/>
    <col min="9990" max="9990" width="12.42578125" style="827" customWidth="1"/>
    <col min="9991" max="9991" width="7.5703125" style="827" customWidth="1"/>
    <col min="9992" max="9992" width="7.85546875" style="827" customWidth="1"/>
    <col min="9993" max="9993" width="10" style="827" customWidth="1"/>
    <col min="9994" max="9995" width="9.140625" style="827"/>
    <col min="9996" max="9996" width="10.85546875" style="827" customWidth="1"/>
    <col min="9997" max="10240" width="9.140625" style="827"/>
    <col min="10241" max="10241" width="8.28515625" style="827" customWidth="1"/>
    <col min="10242" max="10242" width="10.140625" style="827" customWidth="1"/>
    <col min="10243" max="10243" width="8.7109375" style="827" customWidth="1"/>
    <col min="10244" max="10244" width="12.7109375" style="827" customWidth="1"/>
    <col min="10245" max="10245" width="10.5703125" style="827" customWidth="1"/>
    <col min="10246" max="10246" width="12.42578125" style="827" customWidth="1"/>
    <col min="10247" max="10247" width="7.5703125" style="827" customWidth="1"/>
    <col min="10248" max="10248" width="7.85546875" style="827" customWidth="1"/>
    <col min="10249" max="10249" width="10" style="827" customWidth="1"/>
    <col min="10250" max="10251" width="9.140625" style="827"/>
    <col min="10252" max="10252" width="10.85546875" style="827" customWidth="1"/>
    <col min="10253" max="10496" width="9.140625" style="827"/>
    <col min="10497" max="10497" width="8.28515625" style="827" customWidth="1"/>
    <col min="10498" max="10498" width="10.140625" style="827" customWidth="1"/>
    <col min="10499" max="10499" width="8.7109375" style="827" customWidth="1"/>
    <col min="10500" max="10500" width="12.7109375" style="827" customWidth="1"/>
    <col min="10501" max="10501" width="10.5703125" style="827" customWidth="1"/>
    <col min="10502" max="10502" width="12.42578125" style="827" customWidth="1"/>
    <col min="10503" max="10503" width="7.5703125" style="827" customWidth="1"/>
    <col min="10504" max="10504" width="7.85546875" style="827" customWidth="1"/>
    <col min="10505" max="10505" width="10" style="827" customWidth="1"/>
    <col min="10506" max="10507" width="9.140625" style="827"/>
    <col min="10508" max="10508" width="10.85546875" style="827" customWidth="1"/>
    <col min="10509" max="10752" width="9.140625" style="827"/>
    <col min="10753" max="10753" width="8.28515625" style="827" customWidth="1"/>
    <col min="10754" max="10754" width="10.140625" style="827" customWidth="1"/>
    <col min="10755" max="10755" width="8.7109375" style="827" customWidth="1"/>
    <col min="10756" max="10756" width="12.7109375" style="827" customWidth="1"/>
    <col min="10757" max="10757" width="10.5703125" style="827" customWidth="1"/>
    <col min="10758" max="10758" width="12.42578125" style="827" customWidth="1"/>
    <col min="10759" max="10759" width="7.5703125" style="827" customWidth="1"/>
    <col min="10760" max="10760" width="7.85546875" style="827" customWidth="1"/>
    <col min="10761" max="10761" width="10" style="827" customWidth="1"/>
    <col min="10762" max="10763" width="9.140625" style="827"/>
    <col min="10764" max="10764" width="10.85546875" style="827" customWidth="1"/>
    <col min="10765" max="11008" width="9.140625" style="827"/>
    <col min="11009" max="11009" width="8.28515625" style="827" customWidth="1"/>
    <col min="11010" max="11010" width="10.140625" style="827" customWidth="1"/>
    <col min="11011" max="11011" width="8.7109375" style="827" customWidth="1"/>
    <col min="11012" max="11012" width="12.7109375" style="827" customWidth="1"/>
    <col min="11013" max="11013" width="10.5703125" style="827" customWidth="1"/>
    <col min="11014" max="11014" width="12.42578125" style="827" customWidth="1"/>
    <col min="11015" max="11015" width="7.5703125" style="827" customWidth="1"/>
    <col min="11016" max="11016" width="7.85546875" style="827" customWidth="1"/>
    <col min="11017" max="11017" width="10" style="827" customWidth="1"/>
    <col min="11018" max="11019" width="9.140625" style="827"/>
    <col min="11020" max="11020" width="10.85546875" style="827" customWidth="1"/>
    <col min="11021" max="11264" width="9.140625" style="827"/>
    <col min="11265" max="11265" width="8.28515625" style="827" customWidth="1"/>
    <col min="11266" max="11266" width="10.140625" style="827" customWidth="1"/>
    <col min="11267" max="11267" width="8.7109375" style="827" customWidth="1"/>
    <col min="11268" max="11268" width="12.7109375" style="827" customWidth="1"/>
    <col min="11269" max="11269" width="10.5703125" style="827" customWidth="1"/>
    <col min="11270" max="11270" width="12.42578125" style="827" customWidth="1"/>
    <col min="11271" max="11271" width="7.5703125" style="827" customWidth="1"/>
    <col min="11272" max="11272" width="7.85546875" style="827" customWidth="1"/>
    <col min="11273" max="11273" width="10" style="827" customWidth="1"/>
    <col min="11274" max="11275" width="9.140625" style="827"/>
    <col min="11276" max="11276" width="10.85546875" style="827" customWidth="1"/>
    <col min="11277" max="11520" width="9.140625" style="827"/>
    <col min="11521" max="11521" width="8.28515625" style="827" customWidth="1"/>
    <col min="11522" max="11522" width="10.140625" style="827" customWidth="1"/>
    <col min="11523" max="11523" width="8.7109375" style="827" customWidth="1"/>
    <col min="11524" max="11524" width="12.7109375" style="827" customWidth="1"/>
    <col min="11525" max="11525" width="10.5703125" style="827" customWidth="1"/>
    <col min="11526" max="11526" width="12.42578125" style="827" customWidth="1"/>
    <col min="11527" max="11527" width="7.5703125" style="827" customWidth="1"/>
    <col min="11528" max="11528" width="7.85546875" style="827" customWidth="1"/>
    <col min="11529" max="11529" width="10" style="827" customWidth="1"/>
    <col min="11530" max="11531" width="9.140625" style="827"/>
    <col min="11532" max="11532" width="10.85546875" style="827" customWidth="1"/>
    <col min="11533" max="11776" width="9.140625" style="827"/>
    <col min="11777" max="11777" width="8.28515625" style="827" customWidth="1"/>
    <col min="11778" max="11778" width="10.140625" style="827" customWidth="1"/>
    <col min="11779" max="11779" width="8.7109375" style="827" customWidth="1"/>
    <col min="11780" max="11780" width="12.7109375" style="827" customWidth="1"/>
    <col min="11781" max="11781" width="10.5703125" style="827" customWidth="1"/>
    <col min="11782" max="11782" width="12.42578125" style="827" customWidth="1"/>
    <col min="11783" max="11783" width="7.5703125" style="827" customWidth="1"/>
    <col min="11784" max="11784" width="7.85546875" style="827" customWidth="1"/>
    <col min="11785" max="11785" width="10" style="827" customWidth="1"/>
    <col min="11786" max="11787" width="9.140625" style="827"/>
    <col min="11788" max="11788" width="10.85546875" style="827" customWidth="1"/>
    <col min="11789" max="12032" width="9.140625" style="827"/>
    <col min="12033" max="12033" width="8.28515625" style="827" customWidth="1"/>
    <col min="12034" max="12034" width="10.140625" style="827" customWidth="1"/>
    <col min="12035" max="12035" width="8.7109375" style="827" customWidth="1"/>
    <col min="12036" max="12036" width="12.7109375" style="827" customWidth="1"/>
    <col min="12037" max="12037" width="10.5703125" style="827" customWidth="1"/>
    <col min="12038" max="12038" width="12.42578125" style="827" customWidth="1"/>
    <col min="12039" max="12039" width="7.5703125" style="827" customWidth="1"/>
    <col min="12040" max="12040" width="7.85546875" style="827" customWidth="1"/>
    <col min="12041" max="12041" width="10" style="827" customWidth="1"/>
    <col min="12042" max="12043" width="9.140625" style="827"/>
    <col min="12044" max="12044" width="10.85546875" style="827" customWidth="1"/>
    <col min="12045" max="12288" width="9.140625" style="827"/>
    <col min="12289" max="12289" width="8.28515625" style="827" customWidth="1"/>
    <col min="12290" max="12290" width="10.140625" style="827" customWidth="1"/>
    <col min="12291" max="12291" width="8.7109375" style="827" customWidth="1"/>
    <col min="12292" max="12292" width="12.7109375" style="827" customWidth="1"/>
    <col min="12293" max="12293" width="10.5703125" style="827" customWidth="1"/>
    <col min="12294" max="12294" width="12.42578125" style="827" customWidth="1"/>
    <col min="12295" max="12295" width="7.5703125" style="827" customWidth="1"/>
    <col min="12296" max="12296" width="7.85546875" style="827" customWidth="1"/>
    <col min="12297" max="12297" width="10" style="827" customWidth="1"/>
    <col min="12298" max="12299" width="9.140625" style="827"/>
    <col min="12300" max="12300" width="10.85546875" style="827" customWidth="1"/>
    <col min="12301" max="12544" width="9.140625" style="827"/>
    <col min="12545" max="12545" width="8.28515625" style="827" customWidth="1"/>
    <col min="12546" max="12546" width="10.140625" style="827" customWidth="1"/>
    <col min="12547" max="12547" width="8.7109375" style="827" customWidth="1"/>
    <col min="12548" max="12548" width="12.7109375" style="827" customWidth="1"/>
    <col min="12549" max="12549" width="10.5703125" style="827" customWidth="1"/>
    <col min="12550" max="12550" width="12.42578125" style="827" customWidth="1"/>
    <col min="12551" max="12551" width="7.5703125" style="827" customWidth="1"/>
    <col min="12552" max="12552" width="7.85546875" style="827" customWidth="1"/>
    <col min="12553" max="12553" width="10" style="827" customWidth="1"/>
    <col min="12554" max="12555" width="9.140625" style="827"/>
    <col min="12556" max="12556" width="10.85546875" style="827" customWidth="1"/>
    <col min="12557" max="12800" width="9.140625" style="827"/>
    <col min="12801" max="12801" width="8.28515625" style="827" customWidth="1"/>
    <col min="12802" max="12802" width="10.140625" style="827" customWidth="1"/>
    <col min="12803" max="12803" width="8.7109375" style="827" customWidth="1"/>
    <col min="12804" max="12804" width="12.7109375" style="827" customWidth="1"/>
    <col min="12805" max="12805" width="10.5703125" style="827" customWidth="1"/>
    <col min="12806" max="12806" width="12.42578125" style="827" customWidth="1"/>
    <col min="12807" max="12807" width="7.5703125" style="827" customWidth="1"/>
    <col min="12808" max="12808" width="7.85546875" style="827" customWidth="1"/>
    <col min="12809" max="12809" width="10" style="827" customWidth="1"/>
    <col min="12810" max="12811" width="9.140625" style="827"/>
    <col min="12812" max="12812" width="10.85546875" style="827" customWidth="1"/>
    <col min="12813" max="13056" width="9.140625" style="827"/>
    <col min="13057" max="13057" width="8.28515625" style="827" customWidth="1"/>
    <col min="13058" max="13058" width="10.140625" style="827" customWidth="1"/>
    <col min="13059" max="13059" width="8.7109375" style="827" customWidth="1"/>
    <col min="13060" max="13060" width="12.7109375" style="827" customWidth="1"/>
    <col min="13061" max="13061" width="10.5703125" style="827" customWidth="1"/>
    <col min="13062" max="13062" width="12.42578125" style="827" customWidth="1"/>
    <col min="13063" max="13063" width="7.5703125" style="827" customWidth="1"/>
    <col min="13064" max="13064" width="7.85546875" style="827" customWidth="1"/>
    <col min="13065" max="13065" width="10" style="827" customWidth="1"/>
    <col min="13066" max="13067" width="9.140625" style="827"/>
    <col min="13068" max="13068" width="10.85546875" style="827" customWidth="1"/>
    <col min="13069" max="13312" width="9.140625" style="827"/>
    <col min="13313" max="13313" width="8.28515625" style="827" customWidth="1"/>
    <col min="13314" max="13314" width="10.140625" style="827" customWidth="1"/>
    <col min="13315" max="13315" width="8.7109375" style="827" customWidth="1"/>
    <col min="13316" max="13316" width="12.7109375" style="827" customWidth="1"/>
    <col min="13317" max="13317" width="10.5703125" style="827" customWidth="1"/>
    <col min="13318" max="13318" width="12.42578125" style="827" customWidth="1"/>
    <col min="13319" max="13319" width="7.5703125" style="827" customWidth="1"/>
    <col min="13320" max="13320" width="7.85546875" style="827" customWidth="1"/>
    <col min="13321" max="13321" width="10" style="827" customWidth="1"/>
    <col min="13322" max="13323" width="9.140625" style="827"/>
    <col min="13324" max="13324" width="10.85546875" style="827" customWidth="1"/>
    <col min="13325" max="13568" width="9.140625" style="827"/>
    <col min="13569" max="13569" width="8.28515625" style="827" customWidth="1"/>
    <col min="13570" max="13570" width="10.140625" style="827" customWidth="1"/>
    <col min="13571" max="13571" width="8.7109375" style="827" customWidth="1"/>
    <col min="13572" max="13572" width="12.7109375" style="827" customWidth="1"/>
    <col min="13573" max="13573" width="10.5703125" style="827" customWidth="1"/>
    <col min="13574" max="13574" width="12.42578125" style="827" customWidth="1"/>
    <col min="13575" max="13575" width="7.5703125" style="827" customWidth="1"/>
    <col min="13576" max="13576" width="7.85546875" style="827" customWidth="1"/>
    <col min="13577" max="13577" width="10" style="827" customWidth="1"/>
    <col min="13578" max="13579" width="9.140625" style="827"/>
    <col min="13580" max="13580" width="10.85546875" style="827" customWidth="1"/>
    <col min="13581" max="13824" width="9.140625" style="827"/>
    <col min="13825" max="13825" width="8.28515625" style="827" customWidth="1"/>
    <col min="13826" max="13826" width="10.140625" style="827" customWidth="1"/>
    <col min="13827" max="13827" width="8.7109375" style="827" customWidth="1"/>
    <col min="13828" max="13828" width="12.7109375" style="827" customWidth="1"/>
    <col min="13829" max="13829" width="10.5703125" style="827" customWidth="1"/>
    <col min="13830" max="13830" width="12.42578125" style="827" customWidth="1"/>
    <col min="13831" max="13831" width="7.5703125" style="827" customWidth="1"/>
    <col min="13832" max="13832" width="7.85546875" style="827" customWidth="1"/>
    <col min="13833" max="13833" width="10" style="827" customWidth="1"/>
    <col min="13834" max="13835" width="9.140625" style="827"/>
    <col min="13836" max="13836" width="10.85546875" style="827" customWidth="1"/>
    <col min="13837" max="14080" width="9.140625" style="827"/>
    <col min="14081" max="14081" width="8.28515625" style="827" customWidth="1"/>
    <col min="14082" max="14082" width="10.140625" style="827" customWidth="1"/>
    <col min="14083" max="14083" width="8.7109375" style="827" customWidth="1"/>
    <col min="14084" max="14084" width="12.7109375" style="827" customWidth="1"/>
    <col min="14085" max="14085" width="10.5703125" style="827" customWidth="1"/>
    <col min="14086" max="14086" width="12.42578125" style="827" customWidth="1"/>
    <col min="14087" max="14087" width="7.5703125" style="827" customWidth="1"/>
    <col min="14088" max="14088" width="7.85546875" style="827" customWidth="1"/>
    <col min="14089" max="14089" width="10" style="827" customWidth="1"/>
    <col min="14090" max="14091" width="9.140625" style="827"/>
    <col min="14092" max="14092" width="10.85546875" style="827" customWidth="1"/>
    <col min="14093" max="14336" width="9.140625" style="827"/>
    <col min="14337" max="14337" width="8.28515625" style="827" customWidth="1"/>
    <col min="14338" max="14338" width="10.140625" style="827" customWidth="1"/>
    <col min="14339" max="14339" width="8.7109375" style="827" customWidth="1"/>
    <col min="14340" max="14340" width="12.7109375" style="827" customWidth="1"/>
    <col min="14341" max="14341" width="10.5703125" style="827" customWidth="1"/>
    <col min="14342" max="14342" width="12.42578125" style="827" customWidth="1"/>
    <col min="14343" max="14343" width="7.5703125" style="827" customWidth="1"/>
    <col min="14344" max="14344" width="7.85546875" style="827" customWidth="1"/>
    <col min="14345" max="14345" width="10" style="827" customWidth="1"/>
    <col min="14346" max="14347" width="9.140625" style="827"/>
    <col min="14348" max="14348" width="10.85546875" style="827" customWidth="1"/>
    <col min="14349" max="14592" width="9.140625" style="827"/>
    <col min="14593" max="14593" width="8.28515625" style="827" customWidth="1"/>
    <col min="14594" max="14594" width="10.140625" style="827" customWidth="1"/>
    <col min="14595" max="14595" width="8.7109375" style="827" customWidth="1"/>
    <col min="14596" max="14596" width="12.7109375" style="827" customWidth="1"/>
    <col min="14597" max="14597" width="10.5703125" style="827" customWidth="1"/>
    <col min="14598" max="14598" width="12.42578125" style="827" customWidth="1"/>
    <col min="14599" max="14599" width="7.5703125" style="827" customWidth="1"/>
    <col min="14600" max="14600" width="7.85546875" style="827" customWidth="1"/>
    <col min="14601" max="14601" width="10" style="827" customWidth="1"/>
    <col min="14602" max="14603" width="9.140625" style="827"/>
    <col min="14604" max="14604" width="10.85546875" style="827" customWidth="1"/>
    <col min="14605" max="14848" width="9.140625" style="827"/>
    <col min="14849" max="14849" width="8.28515625" style="827" customWidth="1"/>
    <col min="14850" max="14850" width="10.140625" style="827" customWidth="1"/>
    <col min="14851" max="14851" width="8.7109375" style="827" customWidth="1"/>
    <col min="14852" max="14852" width="12.7109375" style="827" customWidth="1"/>
    <col min="14853" max="14853" width="10.5703125" style="827" customWidth="1"/>
    <col min="14854" max="14854" width="12.42578125" style="827" customWidth="1"/>
    <col min="14855" max="14855" width="7.5703125" style="827" customWidth="1"/>
    <col min="14856" max="14856" width="7.85546875" style="827" customWidth="1"/>
    <col min="14857" max="14857" width="10" style="827" customWidth="1"/>
    <col min="14858" max="14859" width="9.140625" style="827"/>
    <col min="14860" max="14860" width="10.85546875" style="827" customWidth="1"/>
    <col min="14861" max="15104" width="9.140625" style="827"/>
    <col min="15105" max="15105" width="8.28515625" style="827" customWidth="1"/>
    <col min="15106" max="15106" width="10.140625" style="827" customWidth="1"/>
    <col min="15107" max="15107" width="8.7109375" style="827" customWidth="1"/>
    <col min="15108" max="15108" width="12.7109375" style="827" customWidth="1"/>
    <col min="15109" max="15109" width="10.5703125" style="827" customWidth="1"/>
    <col min="15110" max="15110" width="12.42578125" style="827" customWidth="1"/>
    <col min="15111" max="15111" width="7.5703125" style="827" customWidth="1"/>
    <col min="15112" max="15112" width="7.85546875" style="827" customWidth="1"/>
    <col min="15113" max="15113" width="10" style="827" customWidth="1"/>
    <col min="15114" max="15115" width="9.140625" style="827"/>
    <col min="15116" max="15116" width="10.85546875" style="827" customWidth="1"/>
    <col min="15117" max="15360" width="9.140625" style="827"/>
    <col min="15361" max="15361" width="8.28515625" style="827" customWidth="1"/>
    <col min="15362" max="15362" width="10.140625" style="827" customWidth="1"/>
    <col min="15363" max="15363" width="8.7109375" style="827" customWidth="1"/>
    <col min="15364" max="15364" width="12.7109375" style="827" customWidth="1"/>
    <col min="15365" max="15365" width="10.5703125" style="827" customWidth="1"/>
    <col min="15366" max="15366" width="12.42578125" style="827" customWidth="1"/>
    <col min="15367" max="15367" width="7.5703125" style="827" customWidth="1"/>
    <col min="15368" max="15368" width="7.85546875" style="827" customWidth="1"/>
    <col min="15369" max="15369" width="10" style="827" customWidth="1"/>
    <col min="15370" max="15371" width="9.140625" style="827"/>
    <col min="15372" max="15372" width="10.85546875" style="827" customWidth="1"/>
    <col min="15373" max="15616" width="9.140625" style="827"/>
    <col min="15617" max="15617" width="8.28515625" style="827" customWidth="1"/>
    <col min="15618" max="15618" width="10.140625" style="827" customWidth="1"/>
    <col min="15619" max="15619" width="8.7109375" style="827" customWidth="1"/>
    <col min="15620" max="15620" width="12.7109375" style="827" customWidth="1"/>
    <col min="15621" max="15621" width="10.5703125" style="827" customWidth="1"/>
    <col min="15622" max="15622" width="12.42578125" style="827" customWidth="1"/>
    <col min="15623" max="15623" width="7.5703125" style="827" customWidth="1"/>
    <col min="15624" max="15624" width="7.85546875" style="827" customWidth="1"/>
    <col min="15625" max="15625" width="10" style="827" customWidth="1"/>
    <col min="15626" max="15627" width="9.140625" style="827"/>
    <col min="15628" max="15628" width="10.85546875" style="827" customWidth="1"/>
    <col min="15629" max="15872" width="9.140625" style="827"/>
    <col min="15873" max="15873" width="8.28515625" style="827" customWidth="1"/>
    <col min="15874" max="15874" width="10.140625" style="827" customWidth="1"/>
    <col min="15875" max="15875" width="8.7109375" style="827" customWidth="1"/>
    <col min="15876" max="15876" width="12.7109375" style="827" customWidth="1"/>
    <col min="15877" max="15877" width="10.5703125" style="827" customWidth="1"/>
    <col min="15878" max="15878" width="12.42578125" style="827" customWidth="1"/>
    <col min="15879" max="15879" width="7.5703125" style="827" customWidth="1"/>
    <col min="15880" max="15880" width="7.85546875" style="827" customWidth="1"/>
    <col min="15881" max="15881" width="10" style="827" customWidth="1"/>
    <col min="15882" max="15883" width="9.140625" style="827"/>
    <col min="15884" max="15884" width="10.85546875" style="827" customWidth="1"/>
    <col min="15885" max="16128" width="9.140625" style="827"/>
    <col min="16129" max="16129" width="8.28515625" style="827" customWidth="1"/>
    <col min="16130" max="16130" width="10.140625" style="827" customWidth="1"/>
    <col min="16131" max="16131" width="8.7109375" style="827" customWidth="1"/>
    <col min="16132" max="16132" width="12.7109375" style="827" customWidth="1"/>
    <col min="16133" max="16133" width="10.5703125" style="827" customWidth="1"/>
    <col min="16134" max="16134" width="12.42578125" style="827" customWidth="1"/>
    <col min="16135" max="16135" width="7.5703125" style="827" customWidth="1"/>
    <col min="16136" max="16136" width="7.85546875" style="827" customWidth="1"/>
    <col min="16137" max="16137" width="10" style="827" customWidth="1"/>
    <col min="16138" max="16139" width="9.140625" style="827"/>
    <col min="16140" max="16140" width="10.85546875" style="827" customWidth="1"/>
    <col min="16141" max="16384" width="9.140625" style="827"/>
  </cols>
  <sheetData>
    <row r="1" spans="1:15" ht="15.75" x14ac:dyDescent="0.25">
      <c r="A1" s="1080" t="s">
        <v>0</v>
      </c>
      <c r="B1" s="1080"/>
      <c r="C1" s="1080"/>
      <c r="D1" s="1080"/>
      <c r="E1" s="1080"/>
      <c r="F1" s="1080"/>
      <c r="G1" s="1080"/>
      <c r="H1" s="1080"/>
      <c r="I1" s="1080"/>
      <c r="J1" s="1080"/>
      <c r="K1" s="1080"/>
      <c r="L1" s="1080"/>
      <c r="M1" s="1080"/>
      <c r="N1" s="1236" t="s">
        <v>928</v>
      </c>
      <c r="O1" s="1236"/>
    </row>
    <row r="2" spans="1:15" ht="15.75" x14ac:dyDescent="0.25">
      <c r="A2" s="1056" t="s">
        <v>794</v>
      </c>
      <c r="B2" s="1056"/>
      <c r="C2" s="1056"/>
      <c r="D2" s="1056"/>
      <c r="E2" s="1056"/>
      <c r="F2" s="1056"/>
      <c r="G2" s="1056"/>
      <c r="H2" s="1056"/>
      <c r="I2" s="1056"/>
      <c r="J2" s="1056"/>
      <c r="K2" s="1056"/>
      <c r="L2" s="1056"/>
      <c r="M2" s="1056"/>
      <c r="N2" s="1056"/>
      <c r="O2" s="1056"/>
    </row>
    <row r="3" spans="1:15" ht="15" x14ac:dyDescent="0.3">
      <c r="A3" s="113"/>
      <c r="B3" s="113"/>
    </row>
    <row r="4" spans="1:15" ht="18" customHeight="1" x14ac:dyDescent="0.35">
      <c r="A4" s="1232" t="s">
        <v>929</v>
      </c>
      <c r="B4" s="1232"/>
      <c r="C4" s="1232"/>
      <c r="D4" s="1232"/>
      <c r="E4" s="1232"/>
      <c r="F4" s="1232"/>
      <c r="G4" s="1232"/>
      <c r="H4" s="1232"/>
      <c r="I4" s="1232"/>
      <c r="J4" s="1232"/>
      <c r="K4" s="1232"/>
      <c r="L4" s="1232"/>
      <c r="M4" s="1232"/>
      <c r="N4" s="1232"/>
    </row>
    <row r="5" spans="1:15" x14ac:dyDescent="0.2">
      <c r="A5" s="24" t="s">
        <v>588</v>
      </c>
      <c r="B5" s="24"/>
    </row>
    <row r="6" spans="1:15" ht="15" x14ac:dyDescent="0.3">
      <c r="A6" s="114"/>
      <c r="B6" s="114"/>
      <c r="M6" s="1116" t="s">
        <v>927</v>
      </c>
      <c r="N6" s="1116"/>
      <c r="O6" s="1116"/>
    </row>
    <row r="7" spans="1:15" ht="12.75" customHeight="1" x14ac:dyDescent="0.2">
      <c r="A7" s="1206" t="s">
        <v>2</v>
      </c>
      <c r="B7" s="1202" t="s">
        <v>3</v>
      </c>
      <c r="C7" s="1238" t="s">
        <v>930</v>
      </c>
      <c r="D7" s="1235" t="s">
        <v>931</v>
      </c>
      <c r="E7" s="1235" t="s">
        <v>932</v>
      </c>
      <c r="F7" s="1235" t="s">
        <v>933</v>
      </c>
      <c r="G7" s="1235" t="s">
        <v>934</v>
      </c>
      <c r="H7" s="1235"/>
      <c r="I7" s="1235"/>
      <c r="J7" s="1235"/>
      <c r="K7" s="1235"/>
      <c r="L7" s="1235" t="s">
        <v>935</v>
      </c>
      <c r="M7" s="1235" t="s">
        <v>936</v>
      </c>
      <c r="N7" s="1235"/>
      <c r="O7" s="1235"/>
    </row>
    <row r="8" spans="1:15" s="112" customFormat="1" ht="52.5" customHeight="1" x14ac:dyDescent="0.25">
      <c r="A8" s="1237"/>
      <c r="B8" s="1202"/>
      <c r="C8" s="1239"/>
      <c r="D8" s="1235"/>
      <c r="E8" s="1235"/>
      <c r="F8" s="1235"/>
      <c r="G8" s="1235" t="s">
        <v>937</v>
      </c>
      <c r="H8" s="1235"/>
      <c r="I8" s="1235" t="s">
        <v>938</v>
      </c>
      <c r="J8" s="1235" t="s">
        <v>943</v>
      </c>
      <c r="K8" s="1235" t="s">
        <v>944</v>
      </c>
      <c r="L8" s="1235"/>
      <c r="M8" s="1235" t="s">
        <v>99</v>
      </c>
      <c r="N8" s="1235" t="s">
        <v>939</v>
      </c>
      <c r="O8" s="1235" t="s">
        <v>940</v>
      </c>
    </row>
    <row r="9" spans="1:15" ht="24" customHeight="1" x14ac:dyDescent="0.2">
      <c r="A9" s="1207"/>
      <c r="B9" s="1202"/>
      <c r="C9" s="1240"/>
      <c r="D9" s="1235"/>
      <c r="E9" s="1235"/>
      <c r="F9" s="1235"/>
      <c r="G9" s="833" t="s">
        <v>941</v>
      </c>
      <c r="H9" s="833" t="s">
        <v>942</v>
      </c>
      <c r="I9" s="1235"/>
      <c r="J9" s="1235"/>
      <c r="K9" s="1235"/>
      <c r="L9" s="1235"/>
      <c r="M9" s="1235"/>
      <c r="N9" s="1235"/>
      <c r="O9" s="1235"/>
    </row>
    <row r="10" spans="1:15" ht="29.25" customHeight="1" x14ac:dyDescent="0.2">
      <c r="A10" s="770">
        <v>1</v>
      </c>
      <c r="B10" s="770" t="s">
        <v>392</v>
      </c>
      <c r="C10" s="859">
        <v>1864</v>
      </c>
      <c r="D10" s="860">
        <v>1657</v>
      </c>
      <c r="E10" s="860">
        <v>1657</v>
      </c>
      <c r="F10" s="860">
        <v>8</v>
      </c>
      <c r="G10" s="860">
        <v>8</v>
      </c>
      <c r="H10" s="860">
        <v>0</v>
      </c>
      <c r="I10" s="860">
        <v>0</v>
      </c>
      <c r="J10" s="860">
        <v>0</v>
      </c>
      <c r="K10" s="860">
        <v>0</v>
      </c>
      <c r="L10" s="860" t="s">
        <v>460</v>
      </c>
      <c r="M10" s="860" t="s">
        <v>951</v>
      </c>
      <c r="N10" s="860" t="s">
        <v>460</v>
      </c>
      <c r="O10" s="860" t="s">
        <v>460</v>
      </c>
    </row>
    <row r="11" spans="1:15" ht="51" x14ac:dyDescent="0.2">
      <c r="A11" s="770">
        <v>2</v>
      </c>
      <c r="B11" s="770" t="s">
        <v>393</v>
      </c>
      <c r="C11" s="859">
        <v>819</v>
      </c>
      <c r="D11" s="860">
        <v>819</v>
      </c>
      <c r="E11" s="860">
        <v>819</v>
      </c>
      <c r="F11" s="860">
        <v>133</v>
      </c>
      <c r="G11" s="860">
        <v>11</v>
      </c>
      <c r="H11" s="860">
        <v>0</v>
      </c>
      <c r="I11" s="860">
        <v>0</v>
      </c>
      <c r="J11" s="860">
        <v>85</v>
      </c>
      <c r="K11" s="860">
        <v>37</v>
      </c>
      <c r="L11" s="860" t="s">
        <v>460</v>
      </c>
      <c r="M11" s="860" t="s">
        <v>952</v>
      </c>
      <c r="N11" s="860" t="s">
        <v>953</v>
      </c>
      <c r="O11" s="860" t="s">
        <v>954</v>
      </c>
    </row>
    <row r="12" spans="1:15" ht="25.5" x14ac:dyDescent="0.2">
      <c r="A12" s="770">
        <v>3</v>
      </c>
      <c r="B12" s="770" t="s">
        <v>394</v>
      </c>
      <c r="C12" s="859">
        <v>1406</v>
      </c>
      <c r="D12" s="860">
        <v>1406</v>
      </c>
      <c r="E12" s="860">
        <v>1406</v>
      </c>
      <c r="F12" s="860">
        <v>23</v>
      </c>
      <c r="G12" s="860">
        <v>0</v>
      </c>
      <c r="H12" s="860">
        <v>0</v>
      </c>
      <c r="I12" s="860">
        <v>23</v>
      </c>
      <c r="J12" s="860">
        <v>0</v>
      </c>
      <c r="K12" s="860">
        <v>0</v>
      </c>
      <c r="L12" s="860" t="s">
        <v>460</v>
      </c>
      <c r="M12" s="860" t="s">
        <v>955</v>
      </c>
      <c r="N12" s="860" t="s">
        <v>956</v>
      </c>
      <c r="O12" s="860" t="s">
        <v>460</v>
      </c>
    </row>
    <row r="13" spans="1:15" ht="51" x14ac:dyDescent="0.2">
      <c r="A13" s="770">
        <v>4</v>
      </c>
      <c r="B13" s="770" t="s">
        <v>395</v>
      </c>
      <c r="C13" s="859">
        <v>714</v>
      </c>
      <c r="D13" s="860">
        <v>654</v>
      </c>
      <c r="E13" s="860">
        <v>654</v>
      </c>
      <c r="F13" s="860">
        <v>74</v>
      </c>
      <c r="G13" s="860">
        <v>0</v>
      </c>
      <c r="H13" s="860">
        <v>0</v>
      </c>
      <c r="I13" s="860">
        <v>0</v>
      </c>
      <c r="J13" s="860">
        <v>63</v>
      </c>
      <c r="K13" s="860">
        <v>11</v>
      </c>
      <c r="L13" s="860" t="s">
        <v>460</v>
      </c>
      <c r="M13" s="860" t="s">
        <v>460</v>
      </c>
      <c r="N13" s="860" t="s">
        <v>956</v>
      </c>
      <c r="O13" s="860" t="s">
        <v>957</v>
      </c>
    </row>
    <row r="14" spans="1:15" ht="51" x14ac:dyDescent="0.2">
      <c r="A14" s="770">
        <v>5</v>
      </c>
      <c r="B14" s="770" t="s">
        <v>396</v>
      </c>
      <c r="C14" s="859">
        <v>1442</v>
      </c>
      <c r="D14" s="860">
        <v>1394</v>
      </c>
      <c r="E14" s="860">
        <v>1394</v>
      </c>
      <c r="F14" s="860">
        <v>402</v>
      </c>
      <c r="G14" s="860">
        <v>338</v>
      </c>
      <c r="H14" s="860">
        <v>0</v>
      </c>
      <c r="I14" s="860">
        <v>0</v>
      </c>
      <c r="J14" s="860">
        <v>44</v>
      </c>
      <c r="K14" s="860">
        <v>20</v>
      </c>
      <c r="L14" s="860" t="s">
        <v>460</v>
      </c>
      <c r="M14" s="860" t="s">
        <v>951</v>
      </c>
      <c r="N14" s="860" t="s">
        <v>953</v>
      </c>
      <c r="O14" s="860" t="s">
        <v>958</v>
      </c>
    </row>
    <row r="15" spans="1:15" ht="51" x14ac:dyDescent="0.2">
      <c r="A15" s="770">
        <v>6</v>
      </c>
      <c r="B15" s="770" t="s">
        <v>397</v>
      </c>
      <c r="C15" s="859">
        <v>1086</v>
      </c>
      <c r="D15" s="860">
        <v>1086</v>
      </c>
      <c r="E15" s="860">
        <v>1086</v>
      </c>
      <c r="F15" s="860">
        <v>331</v>
      </c>
      <c r="G15" s="860">
        <v>5</v>
      </c>
      <c r="H15" s="860">
        <v>0</v>
      </c>
      <c r="I15" s="860">
        <v>0</v>
      </c>
      <c r="J15" s="860">
        <v>215</v>
      </c>
      <c r="K15" s="860">
        <v>111</v>
      </c>
      <c r="L15" s="860" t="s">
        <v>460</v>
      </c>
      <c r="M15" s="860" t="s">
        <v>951</v>
      </c>
      <c r="N15" s="860" t="s">
        <v>956</v>
      </c>
      <c r="O15" s="860" t="s">
        <v>959</v>
      </c>
    </row>
    <row r="16" spans="1:15" ht="25.5" x14ac:dyDescent="0.2">
      <c r="A16" s="770">
        <v>7</v>
      </c>
      <c r="B16" s="770" t="s">
        <v>398</v>
      </c>
      <c r="C16" s="859">
        <v>1427</v>
      </c>
      <c r="D16" s="860">
        <v>1356</v>
      </c>
      <c r="E16" s="860">
        <v>1356</v>
      </c>
      <c r="F16" s="860">
        <v>45</v>
      </c>
      <c r="G16" s="860">
        <v>10</v>
      </c>
      <c r="H16" s="860">
        <v>0</v>
      </c>
      <c r="I16" s="860">
        <v>0</v>
      </c>
      <c r="J16" s="860">
        <v>30</v>
      </c>
      <c r="K16" s="860">
        <v>5</v>
      </c>
      <c r="L16" s="860" t="s">
        <v>460</v>
      </c>
      <c r="M16" s="860" t="s">
        <v>460</v>
      </c>
      <c r="N16" s="860"/>
      <c r="O16" s="860" t="s">
        <v>960</v>
      </c>
    </row>
    <row r="17" spans="1:15" ht="38.25" x14ac:dyDescent="0.2">
      <c r="A17" s="770">
        <v>8</v>
      </c>
      <c r="B17" s="770" t="s">
        <v>399</v>
      </c>
      <c r="C17" s="859">
        <v>2224</v>
      </c>
      <c r="D17" s="860">
        <v>2080</v>
      </c>
      <c r="E17" s="860">
        <v>2080</v>
      </c>
      <c r="F17" s="860">
        <v>23</v>
      </c>
      <c r="G17" s="860">
        <v>23</v>
      </c>
      <c r="H17" s="860">
        <v>0</v>
      </c>
      <c r="I17" s="860">
        <v>0</v>
      </c>
      <c r="J17" s="860">
        <v>0</v>
      </c>
      <c r="K17" s="860">
        <v>0</v>
      </c>
      <c r="L17" s="860" t="s">
        <v>460</v>
      </c>
      <c r="M17" s="860" t="s">
        <v>460</v>
      </c>
      <c r="N17" s="860" t="s">
        <v>961</v>
      </c>
      <c r="O17" s="860" t="s">
        <v>460</v>
      </c>
    </row>
    <row r="18" spans="1:15" ht="51" x14ac:dyDescent="0.2">
      <c r="A18" s="824">
        <v>9</v>
      </c>
      <c r="B18" s="824" t="s">
        <v>400</v>
      </c>
      <c r="C18" s="859">
        <v>1559</v>
      </c>
      <c r="D18" s="860">
        <v>1559</v>
      </c>
      <c r="E18" s="860">
        <v>1559</v>
      </c>
      <c r="F18" s="860">
        <v>96</v>
      </c>
      <c r="G18" s="860">
        <v>0</v>
      </c>
      <c r="H18" s="860">
        <v>0</v>
      </c>
      <c r="I18" s="860">
        <v>0</v>
      </c>
      <c r="J18" s="860">
        <v>0</v>
      </c>
      <c r="K18" s="860">
        <v>96</v>
      </c>
      <c r="L18" s="860" t="s">
        <v>460</v>
      </c>
      <c r="M18" s="860" t="s">
        <v>460</v>
      </c>
      <c r="N18" s="860" t="s">
        <v>962</v>
      </c>
      <c r="O18" s="860" t="s">
        <v>963</v>
      </c>
    </row>
    <row r="19" spans="1:15" ht="29.25" customHeight="1" x14ac:dyDescent="0.2">
      <c r="A19" s="824">
        <v>10</v>
      </c>
      <c r="B19" s="824" t="s">
        <v>401</v>
      </c>
      <c r="C19" s="859">
        <v>814</v>
      </c>
      <c r="D19" s="860">
        <v>799</v>
      </c>
      <c r="E19" s="860">
        <v>799</v>
      </c>
      <c r="F19" s="860">
        <v>277</v>
      </c>
      <c r="G19" s="860">
        <v>39</v>
      </c>
      <c r="H19" s="860">
        <v>0</v>
      </c>
      <c r="I19" s="860">
        <v>0</v>
      </c>
      <c r="J19" s="860">
        <v>157</v>
      </c>
      <c r="K19" s="860">
        <v>81</v>
      </c>
      <c r="L19" s="860" t="s">
        <v>460</v>
      </c>
      <c r="M19" s="860" t="s">
        <v>460</v>
      </c>
      <c r="N19" s="860" t="s">
        <v>460</v>
      </c>
      <c r="O19" s="860" t="s">
        <v>960</v>
      </c>
    </row>
    <row r="20" spans="1:15" ht="25.5" x14ac:dyDescent="0.2">
      <c r="A20" s="824">
        <v>11</v>
      </c>
      <c r="B20" s="824" t="s">
        <v>402</v>
      </c>
      <c r="C20" s="859">
        <v>1988</v>
      </c>
      <c r="D20" s="860">
        <v>1971</v>
      </c>
      <c r="E20" s="860">
        <v>1971</v>
      </c>
      <c r="F20" s="860">
        <v>36</v>
      </c>
      <c r="G20" s="860">
        <v>0</v>
      </c>
      <c r="H20" s="860">
        <v>0</v>
      </c>
      <c r="I20" s="860">
        <v>0</v>
      </c>
      <c r="J20" s="860">
        <v>0</v>
      </c>
      <c r="K20" s="860">
        <v>36</v>
      </c>
      <c r="L20" s="860" t="s">
        <v>460</v>
      </c>
      <c r="M20" s="860" t="s">
        <v>460</v>
      </c>
      <c r="N20" s="860" t="s">
        <v>956</v>
      </c>
      <c r="O20" s="860" t="s">
        <v>460</v>
      </c>
    </row>
    <row r="21" spans="1:15" ht="51" x14ac:dyDescent="0.2">
      <c r="A21" s="824">
        <v>12</v>
      </c>
      <c r="B21" s="824" t="s">
        <v>403</v>
      </c>
      <c r="C21" s="859">
        <v>1255</v>
      </c>
      <c r="D21" s="860">
        <v>1237</v>
      </c>
      <c r="E21" s="860">
        <v>1237</v>
      </c>
      <c r="F21" s="860">
        <v>51</v>
      </c>
      <c r="G21" s="860">
        <v>0</v>
      </c>
      <c r="H21" s="860">
        <v>0</v>
      </c>
      <c r="I21" s="860">
        <v>0</v>
      </c>
      <c r="J21" s="860">
        <v>20</v>
      </c>
      <c r="K21" s="860">
        <v>31</v>
      </c>
      <c r="L21" s="860" t="s">
        <v>460</v>
      </c>
      <c r="M21" s="860" t="s">
        <v>952</v>
      </c>
      <c r="N21" s="860" t="s">
        <v>956</v>
      </c>
      <c r="O21" s="860" t="s">
        <v>964</v>
      </c>
    </row>
    <row r="22" spans="1:15" ht="25.5" x14ac:dyDescent="0.2">
      <c r="A22" s="824">
        <v>13</v>
      </c>
      <c r="B22" s="824" t="s">
        <v>404</v>
      </c>
      <c r="C22" s="859">
        <v>1066</v>
      </c>
      <c r="D22" s="860">
        <v>1066</v>
      </c>
      <c r="E22" s="860">
        <v>1066</v>
      </c>
      <c r="F22" s="860">
        <v>15</v>
      </c>
      <c r="G22" s="860">
        <v>0</v>
      </c>
      <c r="H22" s="860">
        <v>0</v>
      </c>
      <c r="I22" s="860">
        <v>0</v>
      </c>
      <c r="J22" s="860">
        <v>0</v>
      </c>
      <c r="K22" s="860">
        <v>15</v>
      </c>
      <c r="L22" s="860" t="s">
        <v>460</v>
      </c>
      <c r="M22" s="860" t="s">
        <v>460</v>
      </c>
      <c r="N22" s="860" t="s">
        <v>460</v>
      </c>
      <c r="O22" s="860" t="s">
        <v>965</v>
      </c>
    </row>
    <row r="23" spans="1:15" ht="29.25" customHeight="1" x14ac:dyDescent="0.2">
      <c r="A23" s="824" t="s">
        <v>18</v>
      </c>
      <c r="B23" s="824"/>
      <c r="C23" s="852">
        <f>SUM(C10:C22)</f>
        <v>17664</v>
      </c>
      <c r="D23" s="852">
        <f t="shared" ref="D23:K23" si="0">SUM(D10:D22)</f>
        <v>17084</v>
      </c>
      <c r="E23" s="852">
        <f t="shared" si="0"/>
        <v>17084</v>
      </c>
      <c r="F23" s="852">
        <f t="shared" si="0"/>
        <v>1514</v>
      </c>
      <c r="G23" s="852">
        <f t="shared" si="0"/>
        <v>434</v>
      </c>
      <c r="H23" s="852">
        <f t="shared" si="0"/>
        <v>0</v>
      </c>
      <c r="I23" s="852">
        <f t="shared" si="0"/>
        <v>23</v>
      </c>
      <c r="J23" s="852">
        <f t="shared" si="0"/>
        <v>614</v>
      </c>
      <c r="K23" s="852">
        <f t="shared" si="0"/>
        <v>443</v>
      </c>
      <c r="L23" s="829"/>
      <c r="M23" s="829"/>
      <c r="N23" s="829"/>
      <c r="O23" s="829"/>
    </row>
    <row r="25" spans="1:15" x14ac:dyDescent="0.2">
      <c r="A25" s="115"/>
      <c r="D25" s="926">
        <f>D23/C23</f>
        <v>0.96716485507246375</v>
      </c>
      <c r="E25" s="926">
        <f>E23/C23</f>
        <v>0.96716485507246375</v>
      </c>
      <c r="F25" s="926">
        <f>F23/C23</f>
        <v>8.571105072463768E-2</v>
      </c>
      <c r="G25" s="926">
        <f>G23/C23</f>
        <v>2.4569746376811596E-2</v>
      </c>
      <c r="H25" s="926">
        <f>H23/D23</f>
        <v>0</v>
      </c>
      <c r="I25" s="927">
        <f>I23/C23</f>
        <v>1.3020833333333333E-3</v>
      </c>
      <c r="J25" s="927">
        <f>J23/C23</f>
        <v>3.4759963768115944E-2</v>
      </c>
      <c r="K25" s="927">
        <f>K23/C23</f>
        <v>2.5079257246376812E-2</v>
      </c>
    </row>
    <row r="28" spans="1:15" ht="15" customHeight="1" x14ac:dyDescent="0.2">
      <c r="A28" s="830"/>
      <c r="B28" s="830"/>
      <c r="C28" s="830"/>
      <c r="D28" s="830"/>
      <c r="G28" s="831"/>
      <c r="H28" s="831"/>
      <c r="L28" s="1233" t="s">
        <v>12</v>
      </c>
      <c r="M28" s="1233"/>
      <c r="N28" s="832"/>
      <c r="O28" s="832"/>
    </row>
    <row r="29" spans="1:15" ht="15" customHeight="1" x14ac:dyDescent="0.2">
      <c r="A29" s="830"/>
      <c r="B29" s="830"/>
      <c r="C29" s="830"/>
      <c r="D29" s="830"/>
      <c r="G29" s="831"/>
      <c r="H29" s="831"/>
      <c r="L29" s="1233" t="s">
        <v>13</v>
      </c>
      <c r="M29" s="1233"/>
      <c r="N29" s="1233"/>
      <c r="O29" s="1233"/>
    </row>
    <row r="30" spans="1:15" ht="15" customHeight="1" x14ac:dyDescent="0.2">
      <c r="A30" s="830"/>
      <c r="B30" s="830"/>
      <c r="C30" s="830"/>
      <c r="D30" s="830"/>
      <c r="G30" s="831"/>
      <c r="H30" s="831"/>
      <c r="L30" s="1233" t="s">
        <v>88</v>
      </c>
      <c r="M30" s="1233"/>
      <c r="N30" s="1233"/>
      <c r="O30" s="1233"/>
    </row>
    <row r="31" spans="1:15" x14ac:dyDescent="0.2">
      <c r="A31" s="830" t="s">
        <v>11</v>
      </c>
      <c r="C31" s="830"/>
      <c r="D31" s="830"/>
      <c r="G31" s="830"/>
      <c r="H31" s="830"/>
      <c r="L31" s="1234" t="s">
        <v>85</v>
      </c>
      <c r="M31" s="1234"/>
      <c r="N31" s="832"/>
      <c r="O31" s="832"/>
    </row>
    <row r="32" spans="1:15" x14ac:dyDescent="0.2">
      <c r="A32" s="830"/>
      <c r="B32" s="830"/>
      <c r="C32" s="830"/>
      <c r="D32" s="830"/>
      <c r="E32" s="830"/>
      <c r="F32" s="830"/>
      <c r="G32" s="830"/>
      <c r="H32" s="830"/>
      <c r="I32" s="830"/>
      <c r="J32" s="830"/>
      <c r="K32" s="830"/>
      <c r="L32" s="830"/>
    </row>
  </sheetData>
  <mergeCells count="25">
    <mergeCell ref="A1:M1"/>
    <mergeCell ref="N1:O1"/>
    <mergeCell ref="A4:N4"/>
    <mergeCell ref="M6:O6"/>
    <mergeCell ref="A7:A9"/>
    <mergeCell ref="B7:B9"/>
    <mergeCell ref="C7:C9"/>
    <mergeCell ref="D7:D9"/>
    <mergeCell ref="E7:E9"/>
    <mergeCell ref="A2:O2"/>
    <mergeCell ref="F7:F9"/>
    <mergeCell ref="G7:K7"/>
    <mergeCell ref="L7:L9"/>
    <mergeCell ref="M7:O7"/>
    <mergeCell ref="G8:H8"/>
    <mergeCell ref="I8:I9"/>
    <mergeCell ref="L28:M28"/>
    <mergeCell ref="L29:O29"/>
    <mergeCell ref="L30:O30"/>
    <mergeCell ref="L31:M31"/>
    <mergeCell ref="J8:J9"/>
    <mergeCell ref="K8:K9"/>
    <mergeCell ref="M8:M9"/>
    <mergeCell ref="N8:N9"/>
    <mergeCell ref="O8:O9"/>
  </mergeCells>
  <pageMargins left="0.15748031496062992" right="0.23622047244094491" top="0.23622047244094491" bottom="0" header="0.31496062992125984" footer="0.31496062992125984"/>
  <pageSetup paperSize="9" scale="7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M30"/>
  <sheetViews>
    <sheetView view="pageBreakPreview" topLeftCell="A10" zoomScaleSheetLayoutView="100" workbookViewId="0">
      <selection activeCell="J20" sqref="J20"/>
    </sheetView>
  </sheetViews>
  <sheetFormatPr defaultRowHeight="12.75" x14ac:dyDescent="0.2"/>
  <cols>
    <col min="1" max="1" width="5.85546875" style="586" customWidth="1"/>
    <col min="2" max="2" width="15.28515625" style="586" customWidth="1"/>
    <col min="3" max="3" width="12.42578125" style="586" customWidth="1"/>
    <col min="4" max="4" width="14.5703125" style="586" customWidth="1"/>
    <col min="5" max="5" width="11.85546875" style="586" customWidth="1"/>
    <col min="6" max="6" width="12" style="586" customWidth="1"/>
    <col min="7" max="7" width="11.140625" style="586" customWidth="1"/>
    <col min="8" max="8" width="11.7109375" style="586" customWidth="1"/>
    <col min="9" max="9" width="13" style="586" customWidth="1"/>
    <col min="10" max="10" width="17.28515625" style="586" customWidth="1"/>
    <col min="11" max="11" width="17.42578125" style="586" customWidth="1"/>
    <col min="12" max="16384" width="9.140625" style="586"/>
  </cols>
  <sheetData>
    <row r="2" spans="1:11" ht="15" x14ac:dyDescent="0.2">
      <c r="D2" s="1244"/>
      <c r="E2" s="1244"/>
      <c r="H2" s="931"/>
      <c r="K2" s="932" t="s">
        <v>70</v>
      </c>
    </row>
    <row r="3" spans="1:11" ht="15" x14ac:dyDescent="0.2">
      <c r="A3" s="1248" t="s">
        <v>0</v>
      </c>
      <c r="B3" s="1248"/>
      <c r="C3" s="1248"/>
      <c r="D3" s="1248"/>
      <c r="E3" s="1248"/>
      <c r="F3" s="1248"/>
      <c r="G3" s="1248"/>
      <c r="H3" s="1248"/>
      <c r="I3" s="1248"/>
      <c r="J3" s="1248"/>
      <c r="K3" s="1248"/>
    </row>
    <row r="4" spans="1:11" ht="15.75" x14ac:dyDescent="0.25">
      <c r="A4" s="1249" t="s">
        <v>664</v>
      </c>
      <c r="B4" s="1249"/>
      <c r="C4" s="1249"/>
      <c r="D4" s="1249"/>
      <c r="E4" s="1249"/>
      <c r="F4" s="1249"/>
      <c r="G4" s="1249"/>
      <c r="H4" s="1249"/>
      <c r="I4" s="1249"/>
      <c r="J4" s="1249"/>
      <c r="K4" s="1249"/>
    </row>
    <row r="5" spans="1:11" ht="33.75" customHeight="1" x14ac:dyDescent="0.2">
      <c r="A5" s="1245" t="s">
        <v>518</v>
      </c>
      <c r="B5" s="1245"/>
      <c r="C5" s="1245"/>
      <c r="D5" s="1245"/>
      <c r="E5" s="1245"/>
      <c r="F5" s="1245"/>
      <c r="G5" s="1245"/>
      <c r="H5" s="1245"/>
      <c r="I5" s="1245"/>
      <c r="J5" s="1245"/>
      <c r="K5" s="1245"/>
    </row>
    <row r="6" spans="1:11" x14ac:dyDescent="0.2">
      <c r="A6" s="1246" t="s">
        <v>588</v>
      </c>
      <c r="B6" s="1246"/>
      <c r="C6" s="533"/>
      <c r="D6" s="533"/>
      <c r="E6" s="1247"/>
      <c r="F6" s="1247"/>
      <c r="G6" s="1247"/>
      <c r="H6" s="1247"/>
      <c r="I6" s="1247" t="s">
        <v>921</v>
      </c>
      <c r="J6" s="1247"/>
      <c r="K6" s="1247"/>
    </row>
    <row r="7" spans="1:11" ht="15.75" x14ac:dyDescent="0.25">
      <c r="A7" s="933"/>
      <c r="B7" s="933"/>
      <c r="C7" s="1248"/>
      <c r="D7" s="1248"/>
      <c r="E7" s="1248"/>
      <c r="F7" s="1248"/>
      <c r="G7" s="1248"/>
      <c r="H7" s="1248"/>
      <c r="I7" s="1248"/>
      <c r="J7" s="1248"/>
      <c r="K7" s="933"/>
    </row>
    <row r="8" spans="1:11" x14ac:dyDescent="0.2">
      <c r="A8" s="1259" t="s">
        <v>25</v>
      </c>
      <c r="B8" s="1259" t="s">
        <v>60</v>
      </c>
      <c r="C8" s="1148" t="s">
        <v>519</v>
      </c>
      <c r="D8" s="1150"/>
      <c r="E8" s="1148" t="s">
        <v>39</v>
      </c>
      <c r="F8" s="1150"/>
      <c r="G8" s="1148" t="s">
        <v>40</v>
      </c>
      <c r="H8" s="1150"/>
      <c r="I8" s="1250" t="s">
        <v>111</v>
      </c>
      <c r="J8" s="1250"/>
      <c r="K8" s="1257" t="s">
        <v>266</v>
      </c>
    </row>
    <row r="9" spans="1:11" ht="53.25" customHeight="1" x14ac:dyDescent="0.2">
      <c r="A9" s="1260"/>
      <c r="B9" s="1260"/>
      <c r="C9" s="916" t="s">
        <v>41</v>
      </c>
      <c r="D9" s="916" t="s">
        <v>110</v>
      </c>
      <c r="E9" s="916" t="s">
        <v>41</v>
      </c>
      <c r="F9" s="916" t="s">
        <v>110</v>
      </c>
      <c r="G9" s="916" t="s">
        <v>41</v>
      </c>
      <c r="H9" s="916" t="s">
        <v>110</v>
      </c>
      <c r="I9" s="916" t="s">
        <v>1007</v>
      </c>
      <c r="J9" s="916" t="s">
        <v>149</v>
      </c>
      <c r="K9" s="1258"/>
    </row>
    <row r="10" spans="1:11" ht="18" customHeight="1" x14ac:dyDescent="0.2">
      <c r="A10" s="934">
        <v>1</v>
      </c>
      <c r="B10" s="934">
        <v>2</v>
      </c>
      <c r="C10" s="934">
        <v>3</v>
      </c>
      <c r="D10" s="934">
        <v>4</v>
      </c>
      <c r="E10" s="934">
        <v>5</v>
      </c>
      <c r="F10" s="934">
        <v>6</v>
      </c>
      <c r="G10" s="934">
        <v>7</v>
      </c>
      <c r="H10" s="934">
        <v>8</v>
      </c>
      <c r="I10" s="934">
        <v>9</v>
      </c>
      <c r="J10" s="934">
        <v>10</v>
      </c>
      <c r="K10" s="935">
        <v>11</v>
      </c>
    </row>
    <row r="11" spans="1:11" ht="18" customHeight="1" x14ac:dyDescent="0.2">
      <c r="A11" s="577">
        <v>1</v>
      </c>
      <c r="B11" s="936" t="s">
        <v>477</v>
      </c>
      <c r="C11" s="302">
        <v>0</v>
      </c>
      <c r="D11" s="937">
        <v>0</v>
      </c>
      <c r="E11" s="738">
        <v>0</v>
      </c>
      <c r="F11" s="937">
        <v>0</v>
      </c>
      <c r="G11" s="738">
        <v>0</v>
      </c>
      <c r="H11" s="937">
        <v>0</v>
      </c>
      <c r="I11" s="738">
        <f>C11-E11-G11</f>
        <v>0</v>
      </c>
      <c r="J11" s="937">
        <v>0</v>
      </c>
      <c r="K11" s="1254" t="s">
        <v>597</v>
      </c>
    </row>
    <row r="12" spans="1:11" ht="18" customHeight="1" x14ac:dyDescent="0.2">
      <c r="A12" s="577">
        <v>2</v>
      </c>
      <c r="B12" s="936" t="s">
        <v>478</v>
      </c>
      <c r="C12" s="350">
        <v>4163</v>
      </c>
      <c r="D12" s="937">
        <v>2497.8000000000002</v>
      </c>
      <c r="E12" s="350">
        <v>4163</v>
      </c>
      <c r="F12" s="937">
        <v>2497.8000000000002</v>
      </c>
      <c r="G12" s="738">
        <v>0</v>
      </c>
      <c r="H12" s="937">
        <v>0</v>
      </c>
      <c r="I12" s="738">
        <v>0</v>
      </c>
      <c r="J12" s="937">
        <v>0</v>
      </c>
      <c r="K12" s="1255"/>
    </row>
    <row r="13" spans="1:11" ht="18" customHeight="1" x14ac:dyDescent="0.2">
      <c r="A13" s="577">
        <v>3</v>
      </c>
      <c r="B13" s="936" t="s">
        <v>479</v>
      </c>
      <c r="C13" s="350">
        <v>809</v>
      </c>
      <c r="D13" s="937">
        <v>485.4</v>
      </c>
      <c r="E13" s="350">
        <v>809</v>
      </c>
      <c r="F13" s="937">
        <v>485.4</v>
      </c>
      <c r="G13" s="738">
        <v>0</v>
      </c>
      <c r="H13" s="937">
        <v>0</v>
      </c>
      <c r="I13" s="738">
        <v>0</v>
      </c>
      <c r="J13" s="937">
        <v>0</v>
      </c>
      <c r="K13" s="1255"/>
    </row>
    <row r="14" spans="1:11" ht="18" customHeight="1" x14ac:dyDescent="0.2">
      <c r="A14" s="577">
        <v>4</v>
      </c>
      <c r="B14" s="936" t="s">
        <v>520</v>
      </c>
      <c r="C14" s="357">
        <v>0</v>
      </c>
      <c r="D14" s="937">
        <v>0</v>
      </c>
      <c r="E14" s="739">
        <v>0</v>
      </c>
      <c r="F14" s="937">
        <v>0</v>
      </c>
      <c r="G14" s="738">
        <v>0</v>
      </c>
      <c r="H14" s="937">
        <v>0</v>
      </c>
      <c r="I14" s="738">
        <v>0</v>
      </c>
      <c r="J14" s="937">
        <v>0</v>
      </c>
      <c r="K14" s="1255"/>
    </row>
    <row r="15" spans="1:11" ht="18" customHeight="1" x14ac:dyDescent="0.2">
      <c r="A15" s="577">
        <v>5</v>
      </c>
      <c r="B15" s="936" t="s">
        <v>521</v>
      </c>
      <c r="C15" s="350">
        <v>3800</v>
      </c>
      <c r="D15" s="937">
        <v>3913.35</v>
      </c>
      <c r="E15" s="350">
        <v>3788</v>
      </c>
      <c r="F15" s="937">
        <v>3887.9474999999998</v>
      </c>
      <c r="G15" s="350">
        <v>0</v>
      </c>
      <c r="H15" s="937">
        <v>0</v>
      </c>
      <c r="I15" s="350">
        <v>22</v>
      </c>
      <c r="J15" s="937">
        <v>25.402499999999996</v>
      </c>
      <c r="K15" s="1255"/>
    </row>
    <row r="16" spans="1:11" ht="18" customHeight="1" x14ac:dyDescent="0.2">
      <c r="A16" s="577">
        <v>6</v>
      </c>
      <c r="B16" s="936" t="s">
        <v>522</v>
      </c>
      <c r="C16" s="350">
        <v>4855</v>
      </c>
      <c r="D16" s="937">
        <v>4767.2700000000004</v>
      </c>
      <c r="E16" s="350">
        <v>4791</v>
      </c>
      <c r="F16" s="937">
        <v>4672.95</v>
      </c>
      <c r="G16" s="350">
        <v>10</v>
      </c>
      <c r="H16" s="937">
        <v>10.350000000000001</v>
      </c>
      <c r="I16" s="350">
        <v>85</v>
      </c>
      <c r="J16" s="937">
        <v>83.97</v>
      </c>
      <c r="K16" s="1255"/>
    </row>
    <row r="17" spans="1:13" ht="18" customHeight="1" x14ac:dyDescent="0.2">
      <c r="A17" s="577">
        <v>7</v>
      </c>
      <c r="B17" s="936" t="s">
        <v>255</v>
      </c>
      <c r="C17" s="350">
        <v>2267</v>
      </c>
      <c r="D17" s="937">
        <v>3285.92</v>
      </c>
      <c r="E17" s="350">
        <v>2039</v>
      </c>
      <c r="F17" s="937">
        <v>2969.3325</v>
      </c>
      <c r="G17" s="350">
        <v>51</v>
      </c>
      <c r="H17" s="937">
        <v>63.727499999999999</v>
      </c>
      <c r="I17" s="350">
        <v>163</v>
      </c>
      <c r="J17" s="937">
        <v>252.86</v>
      </c>
      <c r="K17" s="1255"/>
    </row>
    <row r="18" spans="1:13" ht="18" customHeight="1" x14ac:dyDescent="0.2">
      <c r="A18" s="577">
        <v>8</v>
      </c>
      <c r="B18" s="936" t="s">
        <v>284</v>
      </c>
      <c r="C18" s="302">
        <v>39</v>
      </c>
      <c r="D18" s="937">
        <v>50.14</v>
      </c>
      <c r="E18" s="350">
        <v>21</v>
      </c>
      <c r="F18" s="937">
        <v>24.520000000000003</v>
      </c>
      <c r="G18" s="350">
        <v>2</v>
      </c>
      <c r="H18" s="937">
        <v>2.9699999999999998</v>
      </c>
      <c r="I18" s="350">
        <v>16</v>
      </c>
      <c r="J18" s="937">
        <v>22.65</v>
      </c>
      <c r="K18" s="1255"/>
    </row>
    <row r="19" spans="1:13" ht="18" customHeight="1" x14ac:dyDescent="0.2">
      <c r="A19" s="577">
        <v>9</v>
      </c>
      <c r="B19" s="936" t="s">
        <v>473</v>
      </c>
      <c r="C19" s="302">
        <v>0</v>
      </c>
      <c r="D19" s="937">
        <v>0</v>
      </c>
      <c r="E19" s="738">
        <v>0</v>
      </c>
      <c r="F19" s="937">
        <v>0</v>
      </c>
      <c r="G19" s="738">
        <v>0</v>
      </c>
      <c r="H19" s="937">
        <v>0</v>
      </c>
      <c r="I19" s="350">
        <v>0</v>
      </c>
      <c r="J19" s="937">
        <v>0</v>
      </c>
      <c r="K19" s="1256"/>
    </row>
    <row r="20" spans="1:13" s="549" customFormat="1" ht="18" customHeight="1" x14ac:dyDescent="0.2">
      <c r="A20" s="938"/>
      <c r="B20" s="935" t="s">
        <v>18</v>
      </c>
      <c r="C20" s="434">
        <f t="shared" ref="C20:J20" si="0">SUM(C11:C19)</f>
        <v>15933</v>
      </c>
      <c r="D20" s="939">
        <f t="shared" si="0"/>
        <v>14999.88</v>
      </c>
      <c r="E20" s="434">
        <f t="shared" si="0"/>
        <v>15611</v>
      </c>
      <c r="F20" s="939">
        <f t="shared" si="0"/>
        <v>14537.95</v>
      </c>
      <c r="G20" s="434">
        <f t="shared" si="0"/>
        <v>63</v>
      </c>
      <c r="H20" s="434">
        <f t="shared" si="0"/>
        <v>77.047499999999999</v>
      </c>
      <c r="I20" s="940">
        <f t="shared" si="0"/>
        <v>286</v>
      </c>
      <c r="J20" s="939">
        <f t="shared" si="0"/>
        <v>384.88249999999999</v>
      </c>
      <c r="K20" s="940">
        <v>614</v>
      </c>
      <c r="M20" s="586"/>
    </row>
    <row r="21" spans="1:13" s="549" customFormat="1" ht="13.5" customHeight="1" x14ac:dyDescent="0.2">
      <c r="A21" s="941"/>
      <c r="B21" s="941"/>
      <c r="C21" s="941"/>
      <c r="D21" s="941"/>
      <c r="E21" s="945">
        <f>E20/C20</f>
        <v>0.9797903721835185</v>
      </c>
      <c r="F21" s="944">
        <f>F20/D20</f>
        <v>0.96920442030202913</v>
      </c>
      <c r="G21" s="946">
        <f>G20/C20</f>
        <v>3.9540576162681229E-3</v>
      </c>
      <c r="H21" s="944">
        <f>H20/D20</f>
        <v>5.1365410923287389E-3</v>
      </c>
      <c r="I21" s="946">
        <f>I20/C20</f>
        <v>1.7950166321471159E-2</v>
      </c>
      <c r="J21" s="944">
        <f>J20/D20</f>
        <v>2.5659038605642181E-2</v>
      </c>
      <c r="K21" s="941"/>
      <c r="M21" s="586"/>
    </row>
    <row r="22" spans="1:13" ht="25.5" customHeight="1" x14ac:dyDescent="0.2">
      <c r="A22" s="1252" t="s">
        <v>1008</v>
      </c>
      <c r="B22" s="1253"/>
      <c r="C22" s="1253"/>
      <c r="D22" s="1253"/>
      <c r="E22" s="1253"/>
      <c r="F22" s="1253"/>
      <c r="G22" s="1253"/>
      <c r="H22" s="1253"/>
      <c r="I22" s="1253"/>
      <c r="J22" s="1253"/>
      <c r="K22" s="1253"/>
    </row>
    <row r="23" spans="1:13" ht="25.5" customHeight="1" x14ac:dyDescent="0.2">
      <c r="A23" s="1252" t="s">
        <v>1009</v>
      </c>
      <c r="B23" s="1253"/>
      <c r="C23" s="1253"/>
      <c r="D23" s="1253"/>
      <c r="E23" s="1253"/>
      <c r="F23" s="1253"/>
      <c r="G23" s="1253"/>
      <c r="H23" s="1253"/>
      <c r="I23" s="1253"/>
      <c r="J23" s="1253"/>
      <c r="K23" s="1253"/>
    </row>
    <row r="24" spans="1:13" ht="37.5" customHeight="1" x14ac:dyDescent="0.2">
      <c r="A24" s="1251" t="s">
        <v>1010</v>
      </c>
      <c r="B24" s="1251"/>
      <c r="C24" s="1251"/>
      <c r="D24" s="1251"/>
      <c r="E24" s="1251"/>
      <c r="F24" s="1251"/>
      <c r="G24" s="1251"/>
      <c r="H24" s="1251"/>
      <c r="I24" s="1251"/>
      <c r="J24" s="1251"/>
      <c r="K24" s="1251"/>
    </row>
    <row r="25" spans="1:13" ht="14.25" customHeight="1" x14ac:dyDescent="0.2">
      <c r="A25" s="942"/>
      <c r="B25" s="550"/>
      <c r="C25" s="550"/>
      <c r="D25" s="550"/>
      <c r="E25" s="550"/>
      <c r="F25" s="550"/>
      <c r="G25" s="550"/>
      <c r="H25" s="550"/>
      <c r="I25" s="943"/>
      <c r="J25" s="943"/>
      <c r="K25" s="550"/>
    </row>
    <row r="26" spans="1:13" ht="24.75" customHeight="1" x14ac:dyDescent="0.2">
      <c r="A26" s="1242"/>
      <c r="B26" s="1242"/>
      <c r="C26" s="1242"/>
      <c r="D26" s="1242"/>
      <c r="E26" s="1242"/>
      <c r="F26" s="1242"/>
      <c r="G26" s="1242"/>
      <c r="H26" s="1242"/>
      <c r="I26" s="1242"/>
      <c r="J26" s="1242"/>
      <c r="K26" s="1242"/>
    </row>
    <row r="27" spans="1:13" ht="10.5" customHeight="1" x14ac:dyDescent="0.2">
      <c r="A27" s="533"/>
      <c r="B27" s="550"/>
      <c r="C27" s="550"/>
      <c r="D27" s="550"/>
      <c r="E27" s="550"/>
      <c r="F27" s="550"/>
      <c r="G27" s="550"/>
      <c r="H27" s="550"/>
      <c r="J27" s="1243" t="s">
        <v>12</v>
      </c>
      <c r="K27" s="1243"/>
    </row>
    <row r="28" spans="1:13" ht="12.75" customHeight="1" x14ac:dyDescent="0.2">
      <c r="A28" s="1241" t="s">
        <v>13</v>
      </c>
      <c r="B28" s="1241"/>
      <c r="C28" s="1241"/>
      <c r="D28" s="1241"/>
      <c r="E28" s="1241"/>
      <c r="F28" s="1241"/>
      <c r="G28" s="1241"/>
      <c r="H28" s="1241"/>
      <c r="I28" s="1241"/>
      <c r="J28" s="1241"/>
      <c r="K28" s="1241"/>
    </row>
    <row r="29" spans="1:13" ht="12.75" customHeight="1" x14ac:dyDescent="0.2">
      <c r="A29" s="1241" t="s">
        <v>625</v>
      </c>
      <c r="B29" s="1241"/>
      <c r="C29" s="1241"/>
      <c r="D29" s="1241"/>
      <c r="E29" s="1241"/>
      <c r="F29" s="1241"/>
      <c r="G29" s="1241"/>
      <c r="H29" s="1241"/>
      <c r="I29" s="1241"/>
      <c r="J29" s="1241"/>
      <c r="K29" s="1241"/>
    </row>
    <row r="30" spans="1:13" x14ac:dyDescent="0.2">
      <c r="A30" s="549" t="s">
        <v>630</v>
      </c>
      <c r="B30" s="549"/>
      <c r="C30" s="549"/>
      <c r="D30" s="549"/>
      <c r="E30" s="549"/>
      <c r="F30" s="549"/>
      <c r="G30" s="533"/>
      <c r="I30" s="1244" t="s">
        <v>23</v>
      </c>
      <c r="J30" s="1244"/>
      <c r="K30" s="533"/>
    </row>
  </sheetData>
  <mergeCells count="24">
    <mergeCell ref="A24:K24"/>
    <mergeCell ref="A23:K23"/>
    <mergeCell ref="K11:K19"/>
    <mergeCell ref="K8:K9"/>
    <mergeCell ref="A22:K22"/>
    <mergeCell ref="A8:A9"/>
    <mergeCell ref="B8:B9"/>
    <mergeCell ref="C8:D8"/>
    <mergeCell ref="C7:J7"/>
    <mergeCell ref="A3:K3"/>
    <mergeCell ref="A4:K4"/>
    <mergeCell ref="E8:F8"/>
    <mergeCell ref="G8:H8"/>
    <mergeCell ref="I8:J8"/>
    <mergeCell ref="D2:E2"/>
    <mergeCell ref="A5:K5"/>
    <mergeCell ref="A6:B6"/>
    <mergeCell ref="E6:H6"/>
    <mergeCell ref="I6:K6"/>
    <mergeCell ref="A29:K29"/>
    <mergeCell ref="A26:K26"/>
    <mergeCell ref="J27:K27"/>
    <mergeCell ref="A28:K28"/>
    <mergeCell ref="I30:J30"/>
  </mergeCells>
  <printOptions horizontalCentered="1"/>
  <pageMargins left="0.38" right="0.36" top="0" bottom="0" header="0.26" footer="0.22"/>
  <pageSetup paperSize="9" scale="9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S35"/>
  <sheetViews>
    <sheetView view="pageBreakPreview" topLeftCell="A15" zoomScale="96" zoomScaleSheetLayoutView="96" workbookViewId="0">
      <selection activeCell="A31" sqref="A31:K31"/>
    </sheetView>
  </sheetViews>
  <sheetFormatPr defaultRowHeight="12.75" x14ac:dyDescent="0.2"/>
  <cols>
    <col min="1" max="1" width="7.42578125" style="915" customWidth="1"/>
    <col min="2" max="2" width="15.7109375" style="915" customWidth="1"/>
    <col min="3" max="3" width="16.28515625" style="915" customWidth="1"/>
    <col min="4" max="4" width="15.85546875" style="915" customWidth="1"/>
    <col min="5" max="5" width="11.5703125" style="915" customWidth="1"/>
    <col min="6" max="6" width="15" style="915" customWidth="1"/>
    <col min="7" max="7" width="10.7109375" style="915" customWidth="1"/>
    <col min="8" max="8" width="15.140625" style="915" customWidth="1"/>
    <col min="9" max="9" width="16.5703125" style="915" customWidth="1"/>
    <col min="10" max="10" width="24" style="915" customWidth="1"/>
    <col min="11" max="11" width="21.140625" style="915" customWidth="1"/>
    <col min="12" max="16384" width="9.140625" style="915"/>
  </cols>
  <sheetData>
    <row r="1" spans="1:19" ht="15" x14ac:dyDescent="0.2">
      <c r="D1" s="985"/>
      <c r="E1" s="985"/>
      <c r="H1" s="32"/>
      <c r="J1" s="32"/>
      <c r="K1" s="908" t="s">
        <v>601</v>
      </c>
    </row>
    <row r="2" spans="1:19" ht="15" x14ac:dyDescent="0.2">
      <c r="A2" s="1080" t="s">
        <v>0</v>
      </c>
      <c r="B2" s="1080"/>
      <c r="C2" s="1080"/>
      <c r="D2" s="1080"/>
      <c r="E2" s="1080"/>
      <c r="F2" s="1080"/>
      <c r="G2" s="1080"/>
      <c r="H2" s="1080"/>
      <c r="I2" s="1080"/>
      <c r="J2" s="1080"/>
      <c r="K2" s="1080"/>
    </row>
    <row r="3" spans="1:19" ht="18" x14ac:dyDescent="0.25">
      <c r="A3" s="1154" t="s">
        <v>664</v>
      </c>
      <c r="B3" s="1154"/>
      <c r="C3" s="1154"/>
      <c r="D3" s="1154"/>
      <c r="E3" s="1154"/>
      <c r="F3" s="1154"/>
      <c r="G3" s="1154"/>
      <c r="H3" s="1154"/>
      <c r="I3" s="1154"/>
      <c r="J3" s="1154"/>
      <c r="K3" s="1154"/>
      <c r="L3" s="70"/>
      <c r="M3" s="70"/>
      <c r="N3" s="70"/>
      <c r="O3" s="70"/>
      <c r="P3" s="70"/>
      <c r="Q3" s="70"/>
    </row>
    <row r="4" spans="1:19" s="911" customFormat="1" ht="15.75" customHeight="1" x14ac:dyDescent="0.25">
      <c r="A4" s="1085" t="s">
        <v>602</v>
      </c>
      <c r="B4" s="1085"/>
      <c r="C4" s="1085"/>
      <c r="D4" s="1085"/>
      <c r="E4" s="1085"/>
      <c r="F4" s="1085"/>
      <c r="G4" s="1085"/>
      <c r="H4" s="1085"/>
      <c r="I4" s="1085"/>
      <c r="J4" s="1085"/>
      <c r="K4" s="1085"/>
    </row>
    <row r="5" spans="1:19" s="911" customFormat="1" ht="15.75" customHeight="1" x14ac:dyDescent="0.25">
      <c r="A5" s="35"/>
      <c r="B5" s="35"/>
      <c r="C5" s="35"/>
      <c r="D5" s="35"/>
      <c r="E5" s="35"/>
      <c r="F5" s="35"/>
      <c r="G5" s="35"/>
      <c r="H5" s="35"/>
      <c r="I5" s="35"/>
      <c r="J5" s="35"/>
    </row>
    <row r="6" spans="1:19" s="468" customFormat="1" ht="12" x14ac:dyDescent="0.2">
      <c r="A6" s="1163" t="s">
        <v>463</v>
      </c>
      <c r="B6" s="1163"/>
      <c r="C6" s="1163"/>
      <c r="E6" s="1262"/>
      <c r="F6" s="1262"/>
      <c r="G6" s="1262"/>
      <c r="H6" s="1262"/>
      <c r="K6" s="467" t="s">
        <v>922</v>
      </c>
    </row>
    <row r="7" spans="1:19" s="10" customFormat="1" ht="15.75" hidden="1" x14ac:dyDescent="0.25">
      <c r="C7" s="1080" t="s">
        <v>15</v>
      </c>
      <c r="D7" s="1080"/>
      <c r="E7" s="1080"/>
      <c r="F7" s="1080"/>
      <c r="G7" s="1080"/>
      <c r="H7" s="1080"/>
      <c r="I7" s="1080"/>
      <c r="J7" s="1080"/>
    </row>
    <row r="8" spans="1:19" ht="44.25" customHeight="1" x14ac:dyDescent="0.2">
      <c r="A8" s="1066" t="s">
        <v>25</v>
      </c>
      <c r="B8" s="1066" t="s">
        <v>38</v>
      </c>
      <c r="C8" s="1090" t="s">
        <v>604</v>
      </c>
      <c r="D8" s="1092"/>
      <c r="E8" s="1090" t="s">
        <v>39</v>
      </c>
      <c r="F8" s="1092"/>
      <c r="G8" s="1090" t="s">
        <v>40</v>
      </c>
      <c r="H8" s="1092"/>
      <c r="I8" s="1064" t="s">
        <v>111</v>
      </c>
      <c r="J8" s="1064"/>
      <c r="K8" s="1066" t="s">
        <v>266</v>
      </c>
      <c r="R8" s="6"/>
      <c r="S8" s="9"/>
    </row>
    <row r="9" spans="1:19" s="11" customFormat="1" ht="42.6" customHeight="1" x14ac:dyDescent="0.2">
      <c r="A9" s="1067"/>
      <c r="B9" s="1067"/>
      <c r="C9" s="909" t="s">
        <v>41</v>
      </c>
      <c r="D9" s="909" t="s">
        <v>484</v>
      </c>
      <c r="E9" s="909" t="s">
        <v>41</v>
      </c>
      <c r="F9" s="909" t="s">
        <v>484</v>
      </c>
      <c r="G9" s="909" t="s">
        <v>41</v>
      </c>
      <c r="H9" s="909" t="s">
        <v>485</v>
      </c>
      <c r="I9" s="909" t="s">
        <v>148</v>
      </c>
      <c r="J9" s="909" t="s">
        <v>149</v>
      </c>
      <c r="K9" s="1067"/>
    </row>
    <row r="10" spans="1:19" x14ac:dyDescent="0.2">
      <c r="A10" s="255">
        <v>1</v>
      </c>
      <c r="B10" s="255">
        <v>2</v>
      </c>
      <c r="C10" s="255">
        <v>3</v>
      </c>
      <c r="D10" s="255">
        <v>4</v>
      </c>
      <c r="E10" s="255">
        <v>5</v>
      </c>
      <c r="F10" s="255">
        <v>6</v>
      </c>
      <c r="G10" s="255">
        <v>7</v>
      </c>
      <c r="H10" s="255">
        <v>8</v>
      </c>
      <c r="I10" s="255">
        <v>9</v>
      </c>
      <c r="J10" s="255">
        <v>10</v>
      </c>
      <c r="K10" s="905">
        <v>11</v>
      </c>
      <c r="M10" s="11"/>
      <c r="N10" s="11"/>
      <c r="O10" s="11"/>
      <c r="P10" s="11"/>
    </row>
    <row r="11" spans="1:19" s="586" customFormat="1" ht="24.95" customHeight="1" x14ac:dyDescent="0.2">
      <c r="A11" s="434">
        <v>1</v>
      </c>
      <c r="B11" s="544" t="s">
        <v>392</v>
      </c>
      <c r="C11" s="350">
        <v>1757</v>
      </c>
      <c r="D11" s="585">
        <v>1698.6525000000001</v>
      </c>
      <c r="E11" s="350">
        <v>1722</v>
      </c>
      <c r="F11" s="585">
        <v>1646.085</v>
      </c>
      <c r="G11" s="350">
        <v>0</v>
      </c>
      <c r="H11" s="585">
        <v>0</v>
      </c>
      <c r="I11" s="349">
        <v>35</v>
      </c>
      <c r="J11" s="585">
        <v>52.567500000000109</v>
      </c>
      <c r="K11" s="302">
        <v>27</v>
      </c>
      <c r="L11" s="664"/>
      <c r="M11" s="11"/>
      <c r="N11" s="11"/>
      <c r="O11" s="11"/>
      <c r="P11" s="11"/>
    </row>
    <row r="12" spans="1:19" s="586" customFormat="1" ht="24.95" customHeight="1" x14ac:dyDescent="0.2">
      <c r="A12" s="434">
        <v>2</v>
      </c>
      <c r="B12" s="544" t="s">
        <v>393</v>
      </c>
      <c r="C12" s="350">
        <v>754</v>
      </c>
      <c r="D12" s="585">
        <v>748.68</v>
      </c>
      <c r="E12" s="350">
        <v>735</v>
      </c>
      <c r="F12" s="585">
        <v>725.69249999999988</v>
      </c>
      <c r="G12" s="350">
        <v>6</v>
      </c>
      <c r="H12" s="585">
        <v>6.0749999999999993</v>
      </c>
      <c r="I12" s="349">
        <v>13</v>
      </c>
      <c r="J12" s="585">
        <v>16.912500000000069</v>
      </c>
      <c r="K12" s="302">
        <v>22</v>
      </c>
      <c r="L12" s="664"/>
      <c r="M12" s="11"/>
      <c r="N12" s="11"/>
      <c r="O12" s="11"/>
      <c r="P12" s="11"/>
    </row>
    <row r="13" spans="1:19" s="586" customFormat="1" ht="24.95" customHeight="1" x14ac:dyDescent="0.2">
      <c r="A13" s="434">
        <v>3</v>
      </c>
      <c r="B13" s="544" t="s">
        <v>394</v>
      </c>
      <c r="C13" s="350">
        <v>1249</v>
      </c>
      <c r="D13" s="585">
        <v>1203.3399999999999</v>
      </c>
      <c r="E13" s="350">
        <v>1228</v>
      </c>
      <c r="F13" s="585">
        <v>1177.5174999999999</v>
      </c>
      <c r="G13" s="350">
        <v>13</v>
      </c>
      <c r="H13" s="585">
        <v>17.414999999999999</v>
      </c>
      <c r="I13" s="349">
        <v>8</v>
      </c>
      <c r="J13" s="585">
        <v>8.4074999999999918</v>
      </c>
      <c r="K13" s="302">
        <v>40</v>
      </c>
      <c r="L13" s="664"/>
      <c r="M13" s="11"/>
      <c r="N13" s="11"/>
      <c r="O13" s="11"/>
      <c r="P13" s="11"/>
    </row>
    <row r="14" spans="1:19" s="586" customFormat="1" ht="24.95" customHeight="1" x14ac:dyDescent="0.2">
      <c r="A14" s="434">
        <v>4</v>
      </c>
      <c r="B14" s="544" t="s">
        <v>395</v>
      </c>
      <c r="C14" s="350">
        <v>672</v>
      </c>
      <c r="D14" s="585">
        <v>666.15</v>
      </c>
      <c r="E14" s="350">
        <v>644</v>
      </c>
      <c r="F14" s="585">
        <v>623.28750000000002</v>
      </c>
      <c r="G14" s="350">
        <v>3</v>
      </c>
      <c r="H14" s="585">
        <v>3.51</v>
      </c>
      <c r="I14" s="349">
        <v>30</v>
      </c>
      <c r="J14" s="585">
        <v>39.352499999999957</v>
      </c>
      <c r="K14" s="302">
        <v>31</v>
      </c>
      <c r="L14" s="664"/>
      <c r="M14" s="11"/>
      <c r="N14" s="11"/>
      <c r="O14" s="11"/>
      <c r="P14" s="11"/>
    </row>
    <row r="15" spans="1:19" s="586" customFormat="1" ht="24.95" customHeight="1" x14ac:dyDescent="0.2">
      <c r="A15" s="434">
        <v>5</v>
      </c>
      <c r="B15" s="544" t="s">
        <v>396</v>
      </c>
      <c r="C15" s="350">
        <v>1200</v>
      </c>
      <c r="D15" s="585">
        <v>1054.0225</v>
      </c>
      <c r="E15" s="350">
        <v>1203</v>
      </c>
      <c r="F15" s="585">
        <v>1043.9800000000002</v>
      </c>
      <c r="G15" s="350">
        <v>7</v>
      </c>
      <c r="H15" s="585">
        <v>8.557500000000001</v>
      </c>
      <c r="I15" s="349">
        <v>1</v>
      </c>
      <c r="J15" s="585">
        <v>1.4849999999997898</v>
      </c>
      <c r="K15" s="302">
        <v>90</v>
      </c>
      <c r="L15" s="664"/>
      <c r="M15" s="11"/>
      <c r="N15" s="11"/>
      <c r="O15" s="11"/>
      <c r="P15" s="11"/>
    </row>
    <row r="16" spans="1:19" s="586" customFormat="1" ht="24.95" customHeight="1" x14ac:dyDescent="0.2">
      <c r="A16" s="434">
        <v>6</v>
      </c>
      <c r="B16" s="544" t="s">
        <v>397</v>
      </c>
      <c r="C16" s="350">
        <v>914</v>
      </c>
      <c r="D16" s="585">
        <v>841.06</v>
      </c>
      <c r="E16" s="350">
        <v>887</v>
      </c>
      <c r="F16" s="585">
        <v>814.39</v>
      </c>
      <c r="G16" s="350">
        <v>6</v>
      </c>
      <c r="H16" s="585">
        <v>6.66</v>
      </c>
      <c r="I16" s="349">
        <v>21</v>
      </c>
      <c r="J16" s="585">
        <v>20.009999999999959</v>
      </c>
      <c r="K16" s="302">
        <v>36</v>
      </c>
      <c r="L16" s="664"/>
      <c r="M16" s="11"/>
      <c r="N16" s="11"/>
      <c r="O16" s="11"/>
      <c r="P16" s="11"/>
    </row>
    <row r="17" spans="1:16" s="586" customFormat="1" ht="24.95" customHeight="1" x14ac:dyDescent="0.2">
      <c r="A17" s="434">
        <v>7</v>
      </c>
      <c r="B17" s="544" t="s">
        <v>398</v>
      </c>
      <c r="C17" s="350">
        <v>1318</v>
      </c>
      <c r="D17" s="585">
        <v>1211.8599999999999</v>
      </c>
      <c r="E17" s="350">
        <v>1313</v>
      </c>
      <c r="F17" s="585">
        <v>1206.7974999999999</v>
      </c>
      <c r="G17" s="350">
        <v>2</v>
      </c>
      <c r="H17" s="585">
        <v>2.0250000000000004</v>
      </c>
      <c r="I17" s="349">
        <v>3</v>
      </c>
      <c r="J17" s="585">
        <v>3.0374999999999996</v>
      </c>
      <c r="K17" s="302">
        <v>69</v>
      </c>
      <c r="L17" s="664"/>
      <c r="M17" s="11"/>
      <c r="N17" s="11"/>
      <c r="O17" s="11"/>
      <c r="P17" s="11"/>
    </row>
    <row r="18" spans="1:16" s="586" customFormat="1" ht="24.95" customHeight="1" x14ac:dyDescent="0.2">
      <c r="A18" s="434">
        <v>8</v>
      </c>
      <c r="B18" s="544" t="s">
        <v>399</v>
      </c>
      <c r="C18" s="350">
        <v>1947</v>
      </c>
      <c r="D18" s="585">
        <v>1811.25</v>
      </c>
      <c r="E18" s="350">
        <v>1915</v>
      </c>
      <c r="F18" s="585">
        <v>1746.4425000000001</v>
      </c>
      <c r="G18" s="350">
        <v>0</v>
      </c>
      <c r="H18" s="585">
        <v>0</v>
      </c>
      <c r="I18" s="349">
        <v>43</v>
      </c>
      <c r="J18" s="585">
        <v>64.807499999999891</v>
      </c>
      <c r="K18" s="302">
        <v>22</v>
      </c>
      <c r="L18" s="664"/>
      <c r="M18" s="11"/>
      <c r="N18" s="11"/>
      <c r="O18" s="11"/>
      <c r="P18" s="11"/>
    </row>
    <row r="19" spans="1:16" s="586" customFormat="1" ht="24.95" customHeight="1" x14ac:dyDescent="0.2">
      <c r="A19" s="434">
        <v>9</v>
      </c>
      <c r="B19" s="544" t="s">
        <v>400</v>
      </c>
      <c r="C19" s="350">
        <v>1428</v>
      </c>
      <c r="D19" s="585">
        <v>1384.43</v>
      </c>
      <c r="E19" s="350">
        <v>1423</v>
      </c>
      <c r="F19" s="585">
        <v>1379.3675000000001</v>
      </c>
      <c r="G19" s="350">
        <v>5</v>
      </c>
      <c r="H19" s="585">
        <v>5.0625</v>
      </c>
      <c r="I19" s="349">
        <v>0</v>
      </c>
      <c r="J19" s="585">
        <v>0</v>
      </c>
      <c r="K19" s="302">
        <v>66</v>
      </c>
      <c r="L19" s="664"/>
      <c r="M19" s="11"/>
      <c r="N19" s="11"/>
      <c r="O19" s="11"/>
      <c r="P19" s="11"/>
    </row>
    <row r="20" spans="1:16" s="586" customFormat="1" ht="24.95" customHeight="1" x14ac:dyDescent="0.2">
      <c r="A20" s="434">
        <v>10</v>
      </c>
      <c r="B20" s="544" t="s">
        <v>401</v>
      </c>
      <c r="C20" s="350">
        <v>733</v>
      </c>
      <c r="D20" s="585">
        <v>733.78</v>
      </c>
      <c r="E20" s="350">
        <v>716</v>
      </c>
      <c r="F20" s="585">
        <v>716.029</v>
      </c>
      <c r="G20" s="350">
        <v>0</v>
      </c>
      <c r="H20" s="585">
        <v>0</v>
      </c>
      <c r="I20" s="349">
        <v>17</v>
      </c>
      <c r="J20" s="585">
        <v>17.750999999999976</v>
      </c>
      <c r="K20" s="302">
        <v>40</v>
      </c>
      <c r="L20" s="664"/>
      <c r="M20" s="11"/>
      <c r="N20" s="11"/>
      <c r="O20" s="11"/>
      <c r="P20" s="11"/>
    </row>
    <row r="21" spans="1:16" s="586" customFormat="1" ht="24.95" customHeight="1" x14ac:dyDescent="0.2">
      <c r="A21" s="434">
        <v>11</v>
      </c>
      <c r="B21" s="544" t="s">
        <v>402</v>
      </c>
      <c r="C21" s="350">
        <v>1902</v>
      </c>
      <c r="D21" s="585">
        <v>1748.49</v>
      </c>
      <c r="E21" s="350">
        <v>1813</v>
      </c>
      <c r="F21" s="585">
        <v>1632.78</v>
      </c>
      <c r="G21" s="350">
        <v>8</v>
      </c>
      <c r="H21" s="585">
        <v>11.407500000000001</v>
      </c>
      <c r="I21" s="349">
        <v>81</v>
      </c>
      <c r="J21" s="585">
        <v>104.30250000000004</v>
      </c>
      <c r="K21" s="302">
        <v>72</v>
      </c>
      <c r="L21" s="664"/>
      <c r="M21" s="11"/>
      <c r="N21" s="11"/>
      <c r="O21" s="11"/>
      <c r="P21" s="11"/>
    </row>
    <row r="22" spans="1:16" s="586" customFormat="1" ht="24.95" customHeight="1" x14ac:dyDescent="0.2">
      <c r="A22" s="434">
        <v>12</v>
      </c>
      <c r="B22" s="544" t="s">
        <v>403</v>
      </c>
      <c r="C22" s="350">
        <v>1134</v>
      </c>
      <c r="D22" s="585">
        <v>1091.3699999999999</v>
      </c>
      <c r="E22" s="350">
        <v>1088</v>
      </c>
      <c r="F22" s="585">
        <v>1020.27</v>
      </c>
      <c r="G22" s="350">
        <v>12</v>
      </c>
      <c r="H22" s="585">
        <v>14.850000000000001</v>
      </c>
      <c r="I22" s="349">
        <v>34</v>
      </c>
      <c r="J22" s="585">
        <v>56.249999999999908</v>
      </c>
      <c r="K22" s="302">
        <v>46</v>
      </c>
      <c r="L22" s="664"/>
      <c r="M22" s="11"/>
      <c r="N22" s="11"/>
      <c r="O22" s="11"/>
      <c r="P22" s="11"/>
    </row>
    <row r="23" spans="1:16" s="586" customFormat="1" ht="24.95" customHeight="1" x14ac:dyDescent="0.2">
      <c r="A23" s="434">
        <v>13</v>
      </c>
      <c r="B23" s="544" t="s">
        <v>404</v>
      </c>
      <c r="C23" s="350">
        <v>925</v>
      </c>
      <c r="D23" s="585">
        <v>806.79499999999996</v>
      </c>
      <c r="E23" s="350">
        <v>924</v>
      </c>
      <c r="F23" s="585">
        <v>805.31</v>
      </c>
      <c r="G23" s="350">
        <v>1</v>
      </c>
      <c r="H23" s="585">
        <v>1.4849999999999999</v>
      </c>
      <c r="I23" s="349">
        <v>0</v>
      </c>
      <c r="J23" s="585">
        <v>1.3766765505351941E-14</v>
      </c>
      <c r="K23" s="302">
        <v>53</v>
      </c>
      <c r="L23" s="664"/>
      <c r="M23" s="11"/>
      <c r="N23" s="11"/>
      <c r="O23" s="11"/>
      <c r="P23" s="11"/>
    </row>
    <row r="24" spans="1:16" s="586" customFormat="1" ht="24.95" customHeight="1" x14ac:dyDescent="0.2">
      <c r="A24" s="434"/>
      <c r="B24" s="544" t="s">
        <v>659</v>
      </c>
      <c r="C24" s="350"/>
      <c r="D24" s="585"/>
      <c r="E24" s="350"/>
      <c r="F24" s="585">
        <v>0</v>
      </c>
      <c r="G24" s="350"/>
      <c r="H24" s="585"/>
      <c r="I24" s="349">
        <v>0</v>
      </c>
      <c r="J24" s="585">
        <v>0</v>
      </c>
      <c r="K24" s="302"/>
      <c r="L24" s="915"/>
      <c r="M24" s="11"/>
      <c r="N24" s="11"/>
      <c r="O24" s="11"/>
      <c r="P24" s="11"/>
    </row>
    <row r="25" spans="1:16" s="20" customFormat="1" ht="24.95" customHeight="1" x14ac:dyDescent="0.2">
      <c r="A25" s="905" t="s">
        <v>18</v>
      </c>
      <c r="B25" s="905"/>
      <c r="C25" s="905">
        <f>SUM(C11:C24)</f>
        <v>15933</v>
      </c>
      <c r="D25" s="204">
        <f t="shared" ref="D25:K25" si="0">SUM(D11:D24)</f>
        <v>14999.88</v>
      </c>
      <c r="E25" s="905">
        <f t="shared" si="0"/>
        <v>15611</v>
      </c>
      <c r="F25" s="204">
        <f t="shared" si="0"/>
        <v>14537.949000000002</v>
      </c>
      <c r="G25" s="905">
        <f t="shared" si="0"/>
        <v>63</v>
      </c>
      <c r="H25" s="905">
        <f t="shared" si="0"/>
        <v>77.047499999999999</v>
      </c>
      <c r="I25" s="905">
        <f t="shared" si="0"/>
        <v>286</v>
      </c>
      <c r="J25" s="204">
        <f>SUM(J11:J24)</f>
        <v>384.88349999999969</v>
      </c>
      <c r="K25" s="905">
        <f t="shared" si="0"/>
        <v>614</v>
      </c>
      <c r="M25" s="11"/>
      <c r="N25" s="11"/>
      <c r="O25" s="11"/>
      <c r="P25" s="11"/>
    </row>
    <row r="26" spans="1:16" s="9" customFormat="1" x14ac:dyDescent="0.2">
      <c r="A26" s="1252" t="s">
        <v>1008</v>
      </c>
      <c r="B26" s="1261"/>
      <c r="C26" s="1261"/>
      <c r="D26" s="1261"/>
      <c r="E26" s="1261"/>
      <c r="F26" s="1261"/>
      <c r="G26" s="1261"/>
      <c r="H26" s="1261"/>
      <c r="I26" s="1261"/>
      <c r="J26" s="1261"/>
      <c r="K26" s="1261"/>
      <c r="M26" s="11"/>
      <c r="N26" s="11"/>
      <c r="O26" s="11"/>
      <c r="P26" s="11"/>
    </row>
    <row r="27" spans="1:16" s="9" customFormat="1" ht="30" customHeight="1" x14ac:dyDescent="0.2">
      <c r="A27" s="1252" t="s">
        <v>1009</v>
      </c>
      <c r="B27" s="1261"/>
      <c r="C27" s="1261"/>
      <c r="D27" s="1261"/>
      <c r="E27" s="1261"/>
      <c r="F27" s="1261"/>
      <c r="G27" s="1261"/>
      <c r="H27" s="1261"/>
      <c r="I27" s="1261"/>
      <c r="J27" s="1261"/>
      <c r="K27" s="1261"/>
      <c r="M27" s="11"/>
      <c r="N27" s="11"/>
      <c r="O27" s="11"/>
      <c r="P27" s="11"/>
    </row>
    <row r="28" spans="1:16" s="9" customFormat="1" ht="33.75" customHeight="1" x14ac:dyDescent="0.2">
      <c r="A28" s="1251" t="s">
        <v>1010</v>
      </c>
      <c r="B28" s="1251"/>
      <c r="C28" s="1251"/>
      <c r="D28" s="1251"/>
      <c r="E28" s="1251"/>
      <c r="F28" s="1251"/>
      <c r="G28" s="1251"/>
      <c r="H28" s="1251"/>
      <c r="I28" s="1251"/>
      <c r="J28" s="1251"/>
      <c r="K28" s="1251"/>
      <c r="M28" s="11"/>
      <c r="N28" s="11"/>
      <c r="O28" s="11"/>
      <c r="P28" s="11"/>
    </row>
    <row r="29" spans="1:16" s="9" customFormat="1" x14ac:dyDescent="0.2">
      <c r="A29" s="7"/>
    </row>
    <row r="30" spans="1:16" s="911" customFormat="1" ht="13.9" customHeight="1" x14ac:dyDescent="0.2">
      <c r="B30" s="910"/>
      <c r="C30" s="910"/>
      <c r="D30" s="910"/>
      <c r="E30" s="910"/>
      <c r="F30" s="9"/>
      <c r="G30" s="910"/>
      <c r="H30" s="910"/>
      <c r="J30" s="1010" t="s">
        <v>12</v>
      </c>
      <c r="K30" s="1010"/>
      <c r="L30" s="910"/>
      <c r="M30" s="910"/>
      <c r="N30" s="910"/>
      <c r="O30" s="910"/>
      <c r="P30" s="910"/>
    </row>
    <row r="31" spans="1:16" s="911" customFormat="1" ht="13.15" customHeight="1" x14ac:dyDescent="0.2">
      <c r="A31" s="1086" t="s">
        <v>13</v>
      </c>
      <c r="B31" s="1086"/>
      <c r="C31" s="1086"/>
      <c r="D31" s="1086"/>
      <c r="E31" s="1086"/>
      <c r="F31" s="1086"/>
      <c r="G31" s="1086"/>
      <c r="H31" s="1086"/>
      <c r="I31" s="1086"/>
      <c r="J31" s="1086"/>
      <c r="K31" s="1086"/>
      <c r="L31" s="910"/>
      <c r="M31" s="910"/>
      <c r="N31" s="910"/>
      <c r="O31" s="910"/>
      <c r="P31" s="910"/>
    </row>
    <row r="32" spans="1:16" s="911" customFormat="1" ht="13.15" customHeight="1" x14ac:dyDescent="0.2">
      <c r="A32" s="1086" t="s">
        <v>631</v>
      </c>
      <c r="B32" s="1086"/>
      <c r="C32" s="1086"/>
      <c r="D32" s="1086"/>
      <c r="E32" s="1086"/>
      <c r="F32" s="1086"/>
      <c r="G32" s="1086"/>
      <c r="H32" s="1086"/>
      <c r="I32" s="1086"/>
      <c r="J32" s="1086"/>
      <c r="K32" s="1086"/>
      <c r="L32" s="910"/>
      <c r="M32" s="910"/>
      <c r="N32" s="910"/>
      <c r="O32" s="910"/>
      <c r="P32" s="910"/>
    </row>
    <row r="33" spans="1:10" s="911" customFormat="1" x14ac:dyDescent="0.2">
      <c r="A33" s="11" t="s">
        <v>628</v>
      </c>
      <c r="B33" s="11"/>
      <c r="C33" s="11"/>
      <c r="D33" s="11"/>
      <c r="E33" s="11"/>
      <c r="F33" s="11"/>
      <c r="I33" s="24"/>
      <c r="J33" s="24" t="s">
        <v>23</v>
      </c>
    </row>
    <row r="34" spans="1:10" s="911" customFormat="1" x14ac:dyDescent="0.2">
      <c r="A34" s="11"/>
    </row>
    <row r="35" spans="1:10" x14ac:dyDescent="0.2">
      <c r="A35" s="1075"/>
      <c r="B35" s="1075"/>
      <c r="C35" s="1075"/>
      <c r="D35" s="1075"/>
      <c r="E35" s="1075"/>
      <c r="F35" s="1075"/>
      <c r="G35" s="1075"/>
      <c r="H35" s="1075"/>
      <c r="I35" s="1075"/>
      <c r="J35" s="1075"/>
    </row>
  </sheetData>
  <mergeCells count="21">
    <mergeCell ref="D1:E1"/>
    <mergeCell ref="A6:C6"/>
    <mergeCell ref="K8:K9"/>
    <mergeCell ref="A2:K2"/>
    <mergeCell ref="A3:K3"/>
    <mergeCell ref="A4:K4"/>
    <mergeCell ref="G8:H8"/>
    <mergeCell ref="E6:H6"/>
    <mergeCell ref="A31:K31"/>
    <mergeCell ref="A32:K32"/>
    <mergeCell ref="J30:K30"/>
    <mergeCell ref="C7:J7"/>
    <mergeCell ref="A35:J35"/>
    <mergeCell ref="E8:F8"/>
    <mergeCell ref="C8:D8"/>
    <mergeCell ref="I8:J8"/>
    <mergeCell ref="A8:A9"/>
    <mergeCell ref="B8:B9"/>
    <mergeCell ref="A26:K26"/>
    <mergeCell ref="A27:K27"/>
    <mergeCell ref="A28:K28"/>
  </mergeCells>
  <phoneticPr fontId="0" type="noConversion"/>
  <printOptions horizontalCentered="1"/>
  <pageMargins left="0.53" right="0.5" top="0.23622047244094491" bottom="0" header="0.31496062992125984" footer="0.31496062992125984"/>
  <pageSetup paperSize="9" scale="8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00000"/>
    <pageSetUpPr fitToPage="1"/>
  </sheetPr>
  <dimension ref="A2:S35"/>
  <sheetViews>
    <sheetView view="pageBreakPreview" topLeftCell="A13" zoomScale="90" zoomScaleSheetLayoutView="90" workbookViewId="0">
      <selection activeCell="A29" sqref="A29:J29"/>
    </sheetView>
  </sheetViews>
  <sheetFormatPr defaultRowHeight="12.75" x14ac:dyDescent="0.2"/>
  <cols>
    <col min="2" max="2" width="19"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23.42578125" customWidth="1"/>
  </cols>
  <sheetData>
    <row r="2" spans="1:19" ht="15" customHeight="1" x14ac:dyDescent="0.2">
      <c r="D2" s="985"/>
      <c r="E2" s="985"/>
      <c r="H2" s="32"/>
      <c r="J2" s="1263" t="s">
        <v>71</v>
      </c>
      <c r="K2" s="1263"/>
    </row>
    <row r="3" spans="1:19" ht="15" x14ac:dyDescent="0.2">
      <c r="A3" s="1080" t="s">
        <v>0</v>
      </c>
      <c r="B3" s="1080"/>
      <c r="C3" s="1080"/>
      <c r="D3" s="1080"/>
      <c r="E3" s="1080"/>
      <c r="F3" s="1080"/>
      <c r="G3" s="1080"/>
      <c r="H3" s="1080"/>
      <c r="I3" s="1080"/>
      <c r="J3" s="1080"/>
      <c r="K3" s="1080"/>
    </row>
    <row r="4" spans="1:19" ht="15.75" x14ac:dyDescent="0.25">
      <c r="A4" s="1056" t="s">
        <v>794</v>
      </c>
      <c r="B4" s="1056"/>
      <c r="C4" s="1056"/>
      <c r="D4" s="1056"/>
      <c r="E4" s="1056"/>
      <c r="F4" s="1056"/>
      <c r="G4" s="1056"/>
      <c r="H4" s="1056"/>
      <c r="I4" s="1056"/>
      <c r="J4" s="1056"/>
      <c r="K4" s="1056"/>
      <c r="L4" s="70"/>
      <c r="M4" s="70"/>
      <c r="N4" s="70"/>
      <c r="O4" s="70"/>
      <c r="P4" s="70"/>
      <c r="Q4" s="70"/>
    </row>
    <row r="5" spans="1:19" s="12" customFormat="1" ht="18.75" customHeight="1" x14ac:dyDescent="0.2">
      <c r="A5" s="1264" t="s">
        <v>226</v>
      </c>
      <c r="B5" s="1264"/>
      <c r="C5" s="1264"/>
      <c r="D5" s="1264"/>
      <c r="E5" s="1264"/>
      <c r="F5" s="1264"/>
      <c r="G5" s="1264"/>
      <c r="H5" s="1264"/>
      <c r="I5" s="1264"/>
      <c r="J5" s="1264"/>
      <c r="K5" s="1264"/>
      <c r="L5" s="189"/>
    </row>
    <row r="6" spans="1:19" s="12" customFormat="1" ht="15.75" customHeight="1" x14ac:dyDescent="0.25">
      <c r="A6" s="35"/>
      <c r="B6" s="35"/>
      <c r="C6" s="35"/>
      <c r="D6" s="35"/>
      <c r="E6" s="35"/>
      <c r="F6" s="35"/>
      <c r="G6" s="35"/>
      <c r="H6" s="35"/>
      <c r="I6" s="35"/>
      <c r="J6" s="35"/>
    </row>
    <row r="7" spans="1:19" s="12" customFormat="1" x14ac:dyDescent="0.2">
      <c r="A7" s="1000" t="s">
        <v>463</v>
      </c>
      <c r="B7" s="1000"/>
      <c r="C7" s="1000"/>
      <c r="J7" s="24"/>
      <c r="K7" s="24" t="s">
        <v>922</v>
      </c>
    </row>
    <row r="8" spans="1:19" s="10" customFormat="1" ht="15.75" hidden="1" x14ac:dyDescent="0.25">
      <c r="C8" s="1080" t="s">
        <v>15</v>
      </c>
      <c r="D8" s="1080"/>
      <c r="E8" s="1080"/>
      <c r="F8" s="1080"/>
      <c r="G8" s="1080"/>
      <c r="H8" s="1080"/>
      <c r="I8" s="1080"/>
      <c r="J8" s="1080"/>
    </row>
    <row r="9" spans="1:19" ht="53.25" customHeight="1" x14ac:dyDescent="0.2">
      <c r="A9" s="1066" t="s">
        <v>25</v>
      </c>
      <c r="B9" s="1066" t="s">
        <v>38</v>
      </c>
      <c r="C9" s="1090" t="s">
        <v>870</v>
      </c>
      <c r="D9" s="1092"/>
      <c r="E9" s="1090" t="s">
        <v>742</v>
      </c>
      <c r="F9" s="1092"/>
      <c r="G9" s="1090" t="s">
        <v>40</v>
      </c>
      <c r="H9" s="1092"/>
      <c r="I9" s="1064" t="s">
        <v>111</v>
      </c>
      <c r="J9" s="1064"/>
      <c r="K9" s="1066" t="s">
        <v>267</v>
      </c>
      <c r="R9" s="6"/>
      <c r="S9" s="9"/>
    </row>
    <row r="10" spans="1:19" s="11" customFormat="1" ht="46.5" customHeight="1" x14ac:dyDescent="0.2">
      <c r="A10" s="1067"/>
      <c r="B10" s="1067"/>
      <c r="C10" s="195" t="s">
        <v>41</v>
      </c>
      <c r="D10" s="195" t="s">
        <v>110</v>
      </c>
      <c r="E10" s="195" t="s">
        <v>41</v>
      </c>
      <c r="F10" s="195" t="s">
        <v>110</v>
      </c>
      <c r="G10" s="195" t="s">
        <v>41</v>
      </c>
      <c r="H10" s="195" t="s">
        <v>110</v>
      </c>
      <c r="I10" s="195" t="s">
        <v>148</v>
      </c>
      <c r="J10" s="195" t="s">
        <v>149</v>
      </c>
      <c r="K10" s="1067"/>
    </row>
    <row r="11" spans="1:19" x14ac:dyDescent="0.2">
      <c r="A11" s="218">
        <v>1</v>
      </c>
      <c r="B11" s="218">
        <v>2</v>
      </c>
      <c r="C11" s="218">
        <v>3</v>
      </c>
      <c r="D11" s="218">
        <v>4</v>
      </c>
      <c r="E11" s="218">
        <v>5</v>
      </c>
      <c r="F11" s="218">
        <v>6</v>
      </c>
      <c r="G11" s="218">
        <v>7</v>
      </c>
      <c r="H11" s="218">
        <v>8</v>
      </c>
      <c r="I11" s="218">
        <v>9</v>
      </c>
      <c r="J11" s="218">
        <v>10</v>
      </c>
      <c r="K11" s="218">
        <v>11</v>
      </c>
      <c r="M11" s="11"/>
      <c r="N11" s="11"/>
    </row>
    <row r="12" spans="1:19" ht="24.95" customHeight="1" x14ac:dyDescent="0.2">
      <c r="A12" s="194">
        <v>1</v>
      </c>
      <c r="B12" s="225" t="s">
        <v>392</v>
      </c>
      <c r="C12" s="218">
        <v>1974</v>
      </c>
      <c r="D12" s="256">
        <f>C12*5000/100000</f>
        <v>98.7</v>
      </c>
      <c r="E12" s="218">
        <v>1974</v>
      </c>
      <c r="F12" s="218">
        <f>E12*5000/100000</f>
        <v>98.7</v>
      </c>
      <c r="G12" s="218">
        <v>0</v>
      </c>
      <c r="H12" s="256">
        <f>G12*5000/100000</f>
        <v>0</v>
      </c>
      <c r="I12" s="218">
        <f>C12-E12-G12</f>
        <v>0</v>
      </c>
      <c r="J12" s="256">
        <f>D12-F12-H12</f>
        <v>0</v>
      </c>
      <c r="K12" s="1173" t="s">
        <v>10</v>
      </c>
      <c r="M12" s="11"/>
      <c r="N12" s="11"/>
    </row>
    <row r="13" spans="1:19" ht="24.95" customHeight="1" x14ac:dyDescent="0.2">
      <c r="A13" s="194">
        <v>2</v>
      </c>
      <c r="B13" s="225" t="s">
        <v>393</v>
      </c>
      <c r="C13" s="218">
        <v>840</v>
      </c>
      <c r="D13" s="256">
        <f t="shared" ref="D13:D24" si="0">C13*5000/100000</f>
        <v>42</v>
      </c>
      <c r="E13" s="218">
        <v>840</v>
      </c>
      <c r="F13" s="218">
        <f t="shared" ref="F13:F24" si="1">E13*5000/100000</f>
        <v>42</v>
      </c>
      <c r="G13" s="218">
        <v>0</v>
      </c>
      <c r="H13" s="256">
        <f t="shared" ref="H13:H24" si="2">G13*5000/100000</f>
        <v>0</v>
      </c>
      <c r="I13" s="218">
        <f t="shared" ref="I13:I24" si="3">C13-E13-G13</f>
        <v>0</v>
      </c>
      <c r="J13" s="256">
        <f t="shared" ref="J13:J24" si="4">D13-F13-H13</f>
        <v>0</v>
      </c>
      <c r="K13" s="1265"/>
      <c r="M13" s="11"/>
      <c r="N13" s="11"/>
    </row>
    <row r="14" spans="1:19" ht="24.95" customHeight="1" x14ac:dyDescent="0.2">
      <c r="A14" s="194">
        <v>3</v>
      </c>
      <c r="B14" s="225" t="s">
        <v>394</v>
      </c>
      <c r="C14" s="218">
        <v>1474</v>
      </c>
      <c r="D14" s="256">
        <f t="shared" si="0"/>
        <v>73.7</v>
      </c>
      <c r="E14" s="218">
        <v>1474</v>
      </c>
      <c r="F14" s="218">
        <f t="shared" si="1"/>
        <v>73.7</v>
      </c>
      <c r="G14" s="218">
        <v>0</v>
      </c>
      <c r="H14" s="256">
        <f t="shared" si="2"/>
        <v>0</v>
      </c>
      <c r="I14" s="218">
        <f t="shared" si="3"/>
        <v>0</v>
      </c>
      <c r="J14" s="256">
        <f t="shared" si="4"/>
        <v>0</v>
      </c>
      <c r="K14" s="1265"/>
      <c r="M14" s="11"/>
      <c r="N14" s="11"/>
    </row>
    <row r="15" spans="1:19" ht="24.95" customHeight="1" x14ac:dyDescent="0.2">
      <c r="A15" s="194">
        <v>4</v>
      </c>
      <c r="B15" s="225" t="s">
        <v>395</v>
      </c>
      <c r="C15" s="218">
        <v>728</v>
      </c>
      <c r="D15" s="256">
        <f t="shared" si="0"/>
        <v>36.4</v>
      </c>
      <c r="E15" s="218">
        <v>728</v>
      </c>
      <c r="F15" s="218">
        <f t="shared" si="1"/>
        <v>36.4</v>
      </c>
      <c r="G15" s="218">
        <v>0</v>
      </c>
      <c r="H15" s="256">
        <f t="shared" si="2"/>
        <v>0</v>
      </c>
      <c r="I15" s="218">
        <f t="shared" si="3"/>
        <v>0</v>
      </c>
      <c r="J15" s="256">
        <f t="shared" si="4"/>
        <v>0</v>
      </c>
      <c r="K15" s="1265"/>
      <c r="M15" s="11"/>
      <c r="N15" s="11"/>
    </row>
    <row r="16" spans="1:19" ht="24.95" customHeight="1" x14ac:dyDescent="0.2">
      <c r="A16" s="194">
        <v>5</v>
      </c>
      <c r="B16" s="227" t="s">
        <v>396</v>
      </c>
      <c r="C16" s="218">
        <v>1431</v>
      </c>
      <c r="D16" s="256">
        <f t="shared" si="0"/>
        <v>71.55</v>
      </c>
      <c r="E16" s="218">
        <v>1428</v>
      </c>
      <c r="F16" s="218">
        <f t="shared" si="1"/>
        <v>71.400000000000006</v>
      </c>
      <c r="G16" s="218">
        <v>0</v>
      </c>
      <c r="H16" s="256">
        <f t="shared" si="2"/>
        <v>0</v>
      </c>
      <c r="I16" s="218">
        <f t="shared" si="3"/>
        <v>3</v>
      </c>
      <c r="J16" s="256">
        <f t="shared" si="4"/>
        <v>0.14999999999999147</v>
      </c>
      <c r="K16" s="1265"/>
      <c r="M16" s="11"/>
      <c r="N16" s="11"/>
    </row>
    <row r="17" spans="1:14" ht="24.95" customHeight="1" x14ac:dyDescent="0.2">
      <c r="A17" s="194">
        <v>6</v>
      </c>
      <c r="B17" s="225" t="s">
        <v>397</v>
      </c>
      <c r="C17" s="218">
        <v>1025</v>
      </c>
      <c r="D17" s="256">
        <f t="shared" si="0"/>
        <v>51.25</v>
      </c>
      <c r="E17" s="218">
        <v>1025</v>
      </c>
      <c r="F17" s="218">
        <f t="shared" si="1"/>
        <v>51.25</v>
      </c>
      <c r="G17" s="218">
        <v>0</v>
      </c>
      <c r="H17" s="256">
        <f t="shared" si="2"/>
        <v>0</v>
      </c>
      <c r="I17" s="218">
        <f t="shared" si="3"/>
        <v>0</v>
      </c>
      <c r="J17" s="256">
        <f t="shared" si="4"/>
        <v>0</v>
      </c>
      <c r="K17" s="1265"/>
      <c r="M17" s="11"/>
      <c r="N17" s="11"/>
    </row>
    <row r="18" spans="1:14" ht="24.95" customHeight="1" x14ac:dyDescent="0.2">
      <c r="A18" s="194">
        <v>7</v>
      </c>
      <c r="B18" s="227" t="s">
        <v>398</v>
      </c>
      <c r="C18" s="218">
        <v>1442</v>
      </c>
      <c r="D18" s="256">
        <f t="shared" si="0"/>
        <v>72.099999999999994</v>
      </c>
      <c r="E18" s="218">
        <v>1442</v>
      </c>
      <c r="F18" s="218">
        <f t="shared" si="1"/>
        <v>72.099999999999994</v>
      </c>
      <c r="G18" s="218">
        <v>0</v>
      </c>
      <c r="H18" s="256">
        <f t="shared" si="2"/>
        <v>0</v>
      </c>
      <c r="I18" s="218">
        <f t="shared" si="3"/>
        <v>0</v>
      </c>
      <c r="J18" s="256">
        <f t="shared" si="4"/>
        <v>0</v>
      </c>
      <c r="K18" s="1265"/>
      <c r="M18" s="11"/>
      <c r="N18" s="11"/>
    </row>
    <row r="19" spans="1:14" ht="24.95" customHeight="1" x14ac:dyDescent="0.2">
      <c r="A19" s="194">
        <v>8</v>
      </c>
      <c r="B19" s="225" t="s">
        <v>399</v>
      </c>
      <c r="C19" s="218">
        <v>2380</v>
      </c>
      <c r="D19" s="256">
        <f t="shared" si="0"/>
        <v>119</v>
      </c>
      <c r="E19" s="218">
        <v>2380</v>
      </c>
      <c r="F19" s="218">
        <f t="shared" si="1"/>
        <v>119</v>
      </c>
      <c r="G19" s="218">
        <v>0</v>
      </c>
      <c r="H19" s="256">
        <f t="shared" si="2"/>
        <v>0</v>
      </c>
      <c r="I19" s="218">
        <f t="shared" si="3"/>
        <v>0</v>
      </c>
      <c r="J19" s="256">
        <f t="shared" si="4"/>
        <v>0</v>
      </c>
      <c r="K19" s="1265"/>
      <c r="M19" s="11"/>
      <c r="N19" s="11"/>
    </row>
    <row r="20" spans="1:14" ht="24.95" customHeight="1" x14ac:dyDescent="0.2">
      <c r="A20" s="194">
        <v>9</v>
      </c>
      <c r="B20" s="225" t="s">
        <v>400</v>
      </c>
      <c r="C20" s="218">
        <v>1687</v>
      </c>
      <c r="D20" s="256">
        <f t="shared" si="0"/>
        <v>84.35</v>
      </c>
      <c r="E20" s="218">
        <v>1687</v>
      </c>
      <c r="F20" s="218">
        <f t="shared" si="1"/>
        <v>84.35</v>
      </c>
      <c r="G20" s="218">
        <v>0</v>
      </c>
      <c r="H20" s="256">
        <f t="shared" si="2"/>
        <v>0</v>
      </c>
      <c r="I20" s="218">
        <f t="shared" si="3"/>
        <v>0</v>
      </c>
      <c r="J20" s="256">
        <f t="shared" si="4"/>
        <v>0</v>
      </c>
      <c r="K20" s="1265"/>
      <c r="M20" s="11"/>
      <c r="N20" s="11"/>
    </row>
    <row r="21" spans="1:14" ht="24.95" customHeight="1" x14ac:dyDescent="0.2">
      <c r="A21" s="194">
        <v>10</v>
      </c>
      <c r="B21" s="225" t="s">
        <v>401</v>
      </c>
      <c r="C21" s="218">
        <v>835</v>
      </c>
      <c r="D21" s="256">
        <f t="shared" si="0"/>
        <v>41.75</v>
      </c>
      <c r="E21" s="218">
        <v>835</v>
      </c>
      <c r="F21" s="218">
        <f t="shared" si="1"/>
        <v>41.75</v>
      </c>
      <c r="G21" s="218">
        <v>0</v>
      </c>
      <c r="H21" s="256">
        <f t="shared" si="2"/>
        <v>0</v>
      </c>
      <c r="I21" s="218">
        <f t="shared" si="3"/>
        <v>0</v>
      </c>
      <c r="J21" s="256">
        <f t="shared" si="4"/>
        <v>0</v>
      </c>
      <c r="K21" s="1265"/>
      <c r="M21" s="11"/>
      <c r="N21" s="11"/>
    </row>
    <row r="22" spans="1:14" ht="24.95" customHeight="1" x14ac:dyDescent="0.2">
      <c r="A22" s="194">
        <v>11</v>
      </c>
      <c r="B22" s="225" t="s">
        <v>402</v>
      </c>
      <c r="C22" s="218">
        <v>2115</v>
      </c>
      <c r="D22" s="256">
        <f t="shared" si="0"/>
        <v>105.75</v>
      </c>
      <c r="E22" s="218">
        <v>2115</v>
      </c>
      <c r="F22" s="218">
        <f t="shared" si="1"/>
        <v>105.75</v>
      </c>
      <c r="G22" s="218">
        <v>0</v>
      </c>
      <c r="H22" s="256">
        <f t="shared" si="2"/>
        <v>0</v>
      </c>
      <c r="I22" s="218">
        <f t="shared" si="3"/>
        <v>0</v>
      </c>
      <c r="J22" s="256">
        <f t="shared" si="4"/>
        <v>0</v>
      </c>
      <c r="K22" s="1265"/>
      <c r="M22" s="11"/>
      <c r="N22" s="11"/>
    </row>
    <row r="23" spans="1:14" ht="24.95" customHeight="1" x14ac:dyDescent="0.2">
      <c r="A23" s="194">
        <v>12</v>
      </c>
      <c r="B23" s="225" t="s">
        <v>403</v>
      </c>
      <c r="C23" s="218">
        <v>1188</v>
      </c>
      <c r="D23" s="256">
        <f t="shared" si="0"/>
        <v>59.4</v>
      </c>
      <c r="E23" s="218">
        <v>1176</v>
      </c>
      <c r="F23" s="218">
        <f t="shared" si="1"/>
        <v>58.8</v>
      </c>
      <c r="G23" s="218">
        <v>0</v>
      </c>
      <c r="H23" s="256">
        <f t="shared" si="2"/>
        <v>0</v>
      </c>
      <c r="I23" s="218">
        <f t="shared" si="3"/>
        <v>12</v>
      </c>
      <c r="J23" s="256">
        <f t="shared" si="4"/>
        <v>0.60000000000000142</v>
      </c>
      <c r="K23" s="1265"/>
      <c r="M23" s="11"/>
      <c r="N23" s="11"/>
    </row>
    <row r="24" spans="1:14" s="9" customFormat="1" ht="24.95" customHeight="1" x14ac:dyDescent="0.2">
      <c r="A24" s="194">
        <v>13</v>
      </c>
      <c r="B24" s="225" t="s">
        <v>404</v>
      </c>
      <c r="C24" s="218">
        <v>1080</v>
      </c>
      <c r="D24" s="256">
        <f t="shared" si="0"/>
        <v>54</v>
      </c>
      <c r="E24" s="218">
        <v>1080</v>
      </c>
      <c r="F24" s="218">
        <f t="shared" si="1"/>
        <v>54</v>
      </c>
      <c r="G24" s="218">
        <v>0</v>
      </c>
      <c r="H24" s="256">
        <f t="shared" si="2"/>
        <v>0</v>
      </c>
      <c r="I24" s="218">
        <f t="shared" si="3"/>
        <v>0</v>
      </c>
      <c r="J24" s="256">
        <f t="shared" si="4"/>
        <v>0</v>
      </c>
      <c r="K24" s="1266"/>
      <c r="M24" s="11"/>
      <c r="N24" s="11"/>
    </row>
    <row r="25" spans="1:14" s="20" customFormat="1" ht="24.95" customHeight="1" x14ac:dyDescent="0.2">
      <c r="A25" s="194" t="s">
        <v>18</v>
      </c>
      <c r="B25" s="194"/>
      <c r="C25" s="194">
        <f>SUM(C12:C24)</f>
        <v>18199</v>
      </c>
      <c r="D25" s="194">
        <f t="shared" ref="D25:J25" si="5">SUM(D12:D24)</f>
        <v>909.94999999999993</v>
      </c>
      <c r="E25" s="194">
        <f t="shared" si="5"/>
        <v>18184</v>
      </c>
      <c r="F25" s="194">
        <f t="shared" si="5"/>
        <v>909.19999999999993</v>
      </c>
      <c r="G25" s="194">
        <f t="shared" si="5"/>
        <v>0</v>
      </c>
      <c r="H25" s="204">
        <f t="shared" si="5"/>
        <v>0</v>
      </c>
      <c r="I25" s="194">
        <f t="shared" si="5"/>
        <v>15</v>
      </c>
      <c r="J25" s="204">
        <f t="shared" si="5"/>
        <v>0.74999999999999289</v>
      </c>
      <c r="K25" s="194"/>
      <c r="M25" s="11"/>
      <c r="N25" s="11"/>
    </row>
    <row r="26" spans="1:14" s="9" customFormat="1" x14ac:dyDescent="0.2">
      <c r="A26" s="7" t="s">
        <v>42</v>
      </c>
    </row>
    <row r="27" spans="1:14" s="9" customFormat="1" x14ac:dyDescent="0.2">
      <c r="A27" s="7"/>
    </row>
    <row r="28" spans="1:14" ht="15.75" customHeight="1" x14ac:dyDescent="0.2">
      <c r="C28" s="11"/>
      <c r="D28" s="185"/>
      <c r="E28" s="185"/>
      <c r="F28" s="185"/>
    </row>
    <row r="29" spans="1:14" x14ac:dyDescent="0.2">
      <c r="A29" s="1075"/>
      <c r="B29" s="1075"/>
      <c r="C29" s="1075"/>
      <c r="D29" s="1075"/>
      <c r="E29" s="1075"/>
      <c r="F29" s="1075"/>
      <c r="G29" s="1075"/>
      <c r="H29" s="1075"/>
      <c r="I29" s="1075"/>
      <c r="J29" s="1075"/>
    </row>
    <row r="30" spans="1:14" x14ac:dyDescent="0.2">
      <c r="A30" s="7"/>
      <c r="B30" s="9"/>
      <c r="C30" s="9"/>
      <c r="D30" s="9"/>
      <c r="E30" s="9"/>
      <c r="F30" s="9"/>
      <c r="G30" s="9"/>
      <c r="H30" s="9"/>
      <c r="I30" s="9"/>
      <c r="J30" s="9"/>
      <c r="K30" s="9"/>
    </row>
    <row r="31" spans="1:14" x14ac:dyDescent="0.2">
      <c r="A31" s="12"/>
      <c r="B31" s="55"/>
      <c r="C31" s="55"/>
      <c r="D31" s="55"/>
      <c r="E31" s="55"/>
      <c r="F31" s="55"/>
      <c r="G31" s="55"/>
      <c r="H31" s="55"/>
      <c r="I31" s="12"/>
      <c r="J31" s="1010" t="s">
        <v>12</v>
      </c>
      <c r="K31" s="1010"/>
    </row>
    <row r="32" spans="1:14" x14ac:dyDescent="0.2">
      <c r="A32" s="1086" t="s">
        <v>13</v>
      </c>
      <c r="B32" s="1086"/>
      <c r="C32" s="1086"/>
      <c r="D32" s="1086"/>
      <c r="E32" s="1086"/>
      <c r="F32" s="1086"/>
      <c r="G32" s="1086"/>
      <c r="H32" s="1086"/>
      <c r="I32" s="1086"/>
      <c r="J32" s="1086"/>
      <c r="K32" s="1086"/>
    </row>
    <row r="33" spans="1:11" x14ac:dyDescent="0.2">
      <c r="A33" s="1086" t="s">
        <v>631</v>
      </c>
      <c r="B33" s="1086"/>
      <c r="C33" s="1086"/>
      <c r="D33" s="1086"/>
      <c r="E33" s="1086"/>
      <c r="F33" s="1086"/>
      <c r="G33" s="1086"/>
      <c r="H33" s="1086"/>
      <c r="I33" s="1086"/>
      <c r="J33" s="1086"/>
      <c r="K33" s="1086"/>
    </row>
    <row r="34" spans="1:11" x14ac:dyDescent="0.2">
      <c r="A34" s="11" t="s">
        <v>628</v>
      </c>
      <c r="B34" s="11"/>
      <c r="C34" s="11"/>
      <c r="D34" s="11"/>
      <c r="E34" s="11"/>
      <c r="F34" s="11"/>
      <c r="G34" s="12"/>
      <c r="H34" s="12"/>
      <c r="I34" s="24"/>
      <c r="J34" s="24" t="s">
        <v>23</v>
      </c>
      <c r="K34" s="12"/>
    </row>
    <row r="35" spans="1:11" x14ac:dyDescent="0.2">
      <c r="A35" s="11"/>
      <c r="B35" s="12"/>
      <c r="C35" s="12"/>
      <c r="D35" s="12"/>
      <c r="E35" s="12"/>
      <c r="F35" s="12"/>
      <c r="G35" s="12"/>
      <c r="H35" s="12"/>
      <c r="I35" s="12"/>
      <c r="J35" s="12"/>
      <c r="K35" s="12"/>
    </row>
  </sheetData>
  <mergeCells count="19">
    <mergeCell ref="J31:K31"/>
    <mergeCell ref="A32:K32"/>
    <mergeCell ref="A33:K33"/>
    <mergeCell ref="A9:A10"/>
    <mergeCell ref="A29:J29"/>
    <mergeCell ref="K12:K24"/>
    <mergeCell ref="J2:K2"/>
    <mergeCell ref="I9:J9"/>
    <mergeCell ref="D2:E2"/>
    <mergeCell ref="G9:H9"/>
    <mergeCell ref="K9:K10"/>
    <mergeCell ref="C8:J8"/>
    <mergeCell ref="A7:C7"/>
    <mergeCell ref="A3:K3"/>
    <mergeCell ref="A4:K4"/>
    <mergeCell ref="A5:K5"/>
    <mergeCell ref="C9:D9"/>
    <mergeCell ref="B9:B10"/>
    <mergeCell ref="E9:F9"/>
  </mergeCells>
  <phoneticPr fontId="0" type="noConversion"/>
  <printOptions horizontalCentered="1"/>
  <pageMargins left="0.70866141732283472" right="0.70866141732283472" top="0.23622047244094491" bottom="0" header="0.31496062992125984" footer="0.31496062992125984"/>
  <pageSetup paperSize="9" scale="8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1"/>
  <sheetViews>
    <sheetView topLeftCell="A8" workbookViewId="0">
      <selection activeCell="N14" sqref="N14"/>
    </sheetView>
  </sheetViews>
  <sheetFormatPr defaultRowHeight="12.75" x14ac:dyDescent="0.2"/>
  <cols>
    <col min="1" max="1" width="6.85546875" customWidth="1"/>
    <col min="2" max="2" width="14.140625" customWidth="1"/>
    <col min="3" max="3" width="10.42578125" customWidth="1"/>
    <col min="4" max="4" width="12.5703125" customWidth="1"/>
    <col min="5" max="5" width="11.42578125" customWidth="1"/>
    <col min="6" max="6" width="13.7109375" customWidth="1"/>
    <col min="7" max="7" width="10.7109375" customWidth="1"/>
    <col min="8" max="8" width="13.140625" customWidth="1"/>
    <col min="9" max="9" width="15" customWidth="1"/>
    <col min="10" max="10" width="16.28515625" customWidth="1"/>
    <col min="11" max="11" width="16.85546875" customWidth="1"/>
  </cols>
  <sheetData>
    <row r="1" spans="1:11" ht="15" x14ac:dyDescent="0.2">
      <c r="D1" s="985"/>
      <c r="E1" s="985"/>
      <c r="H1" s="32"/>
      <c r="J1" s="1060" t="s">
        <v>632</v>
      </c>
      <c r="K1" s="1060"/>
    </row>
    <row r="2" spans="1:11" ht="15" x14ac:dyDescent="0.2">
      <c r="A2" s="1080" t="s">
        <v>0</v>
      </c>
      <c r="B2" s="1080"/>
      <c r="C2" s="1080"/>
      <c r="D2" s="1080"/>
      <c r="E2" s="1080"/>
      <c r="F2" s="1080"/>
      <c r="G2" s="1080"/>
      <c r="H2" s="1080"/>
      <c r="I2" s="1080"/>
      <c r="J2" s="1080"/>
    </row>
    <row r="3" spans="1:11" ht="18" x14ac:dyDescent="0.25">
      <c r="A3" s="1154" t="s">
        <v>794</v>
      </c>
      <c r="B3" s="1154"/>
      <c r="C3" s="1154"/>
      <c r="D3" s="1154"/>
      <c r="E3" s="1154"/>
      <c r="F3" s="1154"/>
      <c r="G3" s="1154"/>
      <c r="H3" s="1154"/>
      <c r="I3" s="1154"/>
      <c r="J3" s="1154"/>
    </row>
    <row r="4" spans="1:11" ht="15.75" x14ac:dyDescent="0.2">
      <c r="A4" s="1267" t="s">
        <v>523</v>
      </c>
      <c r="B4" s="1267"/>
      <c r="C4" s="1267"/>
      <c r="D4" s="1267"/>
      <c r="E4" s="1267"/>
      <c r="F4" s="1267"/>
      <c r="G4" s="1267"/>
      <c r="H4" s="1267"/>
      <c r="I4" s="1267"/>
      <c r="J4" s="1267"/>
      <c r="K4" s="1267"/>
    </row>
    <row r="5" spans="1:11" ht="15.75" x14ac:dyDescent="0.25">
      <c r="A5" s="35"/>
      <c r="B5" s="35"/>
      <c r="C5" s="35"/>
      <c r="D5" s="35"/>
      <c r="E5" s="35"/>
      <c r="F5" s="35"/>
      <c r="G5" s="35"/>
      <c r="H5" s="35"/>
      <c r="I5" s="35"/>
      <c r="J5" s="35"/>
      <c r="K5" s="12"/>
    </row>
    <row r="6" spans="1:11" x14ac:dyDescent="0.2">
      <c r="A6" s="467" t="s">
        <v>588</v>
      </c>
      <c r="B6" s="467"/>
      <c r="C6" s="468"/>
      <c r="D6" s="12"/>
      <c r="E6" s="12"/>
      <c r="F6" s="12"/>
      <c r="G6" s="12"/>
      <c r="H6" s="12"/>
      <c r="I6" s="1262" t="s">
        <v>922</v>
      </c>
      <c r="J6" s="1262"/>
      <c r="K6" s="1262"/>
    </row>
    <row r="7" spans="1:11" ht="48" customHeight="1" x14ac:dyDescent="0.2">
      <c r="A7" s="1066" t="s">
        <v>25</v>
      </c>
      <c r="B7" s="1066" t="s">
        <v>38</v>
      </c>
      <c r="C7" s="1090" t="s">
        <v>871</v>
      </c>
      <c r="D7" s="1092"/>
      <c r="E7" s="1090" t="s">
        <v>742</v>
      </c>
      <c r="F7" s="1092"/>
      <c r="G7" s="1090" t="s">
        <v>40</v>
      </c>
      <c r="H7" s="1092"/>
      <c r="I7" s="1064" t="s">
        <v>111</v>
      </c>
      <c r="J7" s="1064"/>
      <c r="K7" s="1066" t="s">
        <v>267</v>
      </c>
    </row>
    <row r="8" spans="1:11" ht="51" x14ac:dyDescent="0.2">
      <c r="A8" s="1067"/>
      <c r="B8" s="1067"/>
      <c r="C8" s="195" t="s">
        <v>41</v>
      </c>
      <c r="D8" s="195" t="s">
        <v>110</v>
      </c>
      <c r="E8" s="195" t="s">
        <v>41</v>
      </c>
      <c r="F8" s="195" t="s">
        <v>110</v>
      </c>
      <c r="G8" s="195" t="s">
        <v>41</v>
      </c>
      <c r="H8" s="195" t="s">
        <v>110</v>
      </c>
      <c r="I8" s="195" t="s">
        <v>148</v>
      </c>
      <c r="J8" s="195" t="s">
        <v>149</v>
      </c>
      <c r="K8" s="1067"/>
    </row>
    <row r="9" spans="1:11" x14ac:dyDescent="0.2">
      <c r="A9" s="304">
        <v>1</v>
      </c>
      <c r="B9" s="304">
        <v>2</v>
      </c>
      <c r="C9" s="304">
        <v>3</v>
      </c>
      <c r="D9" s="304">
        <v>4</v>
      </c>
      <c r="E9" s="304">
        <v>5</v>
      </c>
      <c r="F9" s="304">
        <v>6</v>
      </c>
      <c r="G9" s="304">
        <v>7</v>
      </c>
      <c r="H9" s="304">
        <v>8</v>
      </c>
      <c r="I9" s="304">
        <v>9</v>
      </c>
      <c r="J9" s="304">
        <v>10</v>
      </c>
      <c r="K9" s="304">
        <v>11</v>
      </c>
    </row>
    <row r="10" spans="1:11" ht="20.25" customHeight="1" x14ac:dyDescent="0.2">
      <c r="A10" s="304">
        <v>1</v>
      </c>
      <c r="B10" s="225" t="s">
        <v>392</v>
      </c>
      <c r="C10" s="218">
        <v>1861</v>
      </c>
      <c r="D10" s="218">
        <v>93.05</v>
      </c>
      <c r="E10" s="218">
        <v>1861</v>
      </c>
      <c r="F10" s="218">
        <v>93.05</v>
      </c>
      <c r="G10" s="218">
        <v>0</v>
      </c>
      <c r="H10" s="256">
        <v>0</v>
      </c>
      <c r="I10" s="218">
        <v>0</v>
      </c>
      <c r="J10" s="256">
        <v>0</v>
      </c>
      <c r="K10" s="218"/>
    </row>
    <row r="11" spans="1:11" ht="20.25" customHeight="1" x14ac:dyDescent="0.2">
      <c r="A11" s="304">
        <v>2</v>
      </c>
      <c r="B11" s="225" t="s">
        <v>393</v>
      </c>
      <c r="C11" s="218">
        <v>800</v>
      </c>
      <c r="D11" s="218">
        <v>40</v>
      </c>
      <c r="E11" s="218">
        <v>800</v>
      </c>
      <c r="F11" s="218">
        <v>40</v>
      </c>
      <c r="G11" s="218">
        <v>0</v>
      </c>
      <c r="H11" s="256">
        <v>0</v>
      </c>
      <c r="I11" s="218">
        <v>0</v>
      </c>
      <c r="J11" s="256">
        <v>0</v>
      </c>
      <c r="K11" s="218"/>
    </row>
    <row r="12" spans="1:11" ht="20.25" customHeight="1" x14ac:dyDescent="0.2">
      <c r="A12" s="304">
        <v>3</v>
      </c>
      <c r="B12" s="225" t="s">
        <v>394</v>
      </c>
      <c r="C12" s="218">
        <v>1411</v>
      </c>
      <c r="D12" s="218">
        <v>70.55</v>
      </c>
      <c r="E12" s="218">
        <v>1411</v>
      </c>
      <c r="F12" s="218">
        <v>70.55</v>
      </c>
      <c r="G12" s="218">
        <v>0</v>
      </c>
      <c r="H12" s="256">
        <v>0</v>
      </c>
      <c r="I12" s="218">
        <v>0</v>
      </c>
      <c r="J12" s="256">
        <v>0</v>
      </c>
      <c r="K12" s="218"/>
    </row>
    <row r="13" spans="1:11" ht="20.25" customHeight="1" x14ac:dyDescent="0.2">
      <c r="A13" s="304">
        <v>4</v>
      </c>
      <c r="B13" s="225" t="s">
        <v>395</v>
      </c>
      <c r="C13" s="218">
        <v>703</v>
      </c>
      <c r="D13" s="218">
        <v>35.15</v>
      </c>
      <c r="E13" s="218">
        <v>703</v>
      </c>
      <c r="F13" s="218">
        <v>35.15</v>
      </c>
      <c r="G13" s="218">
        <v>0</v>
      </c>
      <c r="H13" s="256">
        <v>0</v>
      </c>
      <c r="I13" s="218">
        <v>0</v>
      </c>
      <c r="J13" s="256">
        <v>0</v>
      </c>
      <c r="K13" s="218"/>
    </row>
    <row r="14" spans="1:11" ht="20.25" customHeight="1" x14ac:dyDescent="0.2">
      <c r="A14" s="304">
        <v>5</v>
      </c>
      <c r="B14" s="227" t="s">
        <v>396</v>
      </c>
      <c r="C14" s="218">
        <v>1351</v>
      </c>
      <c r="D14" s="218">
        <v>67.55</v>
      </c>
      <c r="E14" s="218">
        <v>1351</v>
      </c>
      <c r="F14" s="218">
        <v>67.55</v>
      </c>
      <c r="G14" s="218">
        <v>0</v>
      </c>
      <c r="H14" s="256">
        <v>0</v>
      </c>
      <c r="I14" s="218">
        <v>0</v>
      </c>
      <c r="J14" s="256">
        <v>0</v>
      </c>
      <c r="K14" s="218"/>
    </row>
    <row r="15" spans="1:11" ht="20.25" customHeight="1" x14ac:dyDescent="0.2">
      <c r="A15" s="304">
        <v>6</v>
      </c>
      <c r="B15" s="225" t="s">
        <v>397</v>
      </c>
      <c r="C15" s="218">
        <v>1009</v>
      </c>
      <c r="D15" s="218">
        <v>50.45</v>
      </c>
      <c r="E15" s="218">
        <v>1009</v>
      </c>
      <c r="F15" s="218">
        <v>50.45</v>
      </c>
      <c r="G15" s="218">
        <v>0</v>
      </c>
      <c r="H15" s="256">
        <v>0</v>
      </c>
      <c r="I15" s="218">
        <v>0</v>
      </c>
      <c r="J15" s="256">
        <v>0</v>
      </c>
      <c r="K15" s="218"/>
    </row>
    <row r="16" spans="1:11" ht="20.25" customHeight="1" x14ac:dyDescent="0.2">
      <c r="A16" s="305">
        <v>7</v>
      </c>
      <c r="B16" s="227" t="s">
        <v>398</v>
      </c>
      <c r="C16" s="218">
        <v>1319</v>
      </c>
      <c r="D16" s="218">
        <v>65.95</v>
      </c>
      <c r="E16" s="218">
        <v>1319</v>
      </c>
      <c r="F16" s="218">
        <v>65.95</v>
      </c>
      <c r="G16" s="218">
        <v>0</v>
      </c>
      <c r="H16" s="256">
        <v>0</v>
      </c>
      <c r="I16" s="218">
        <v>0</v>
      </c>
      <c r="J16" s="256">
        <v>0</v>
      </c>
      <c r="K16" s="218"/>
    </row>
    <row r="17" spans="1:11" ht="20.25" customHeight="1" x14ac:dyDescent="0.2">
      <c r="A17" s="305">
        <v>8</v>
      </c>
      <c r="B17" s="225" t="s">
        <v>399</v>
      </c>
      <c r="C17" s="218">
        <v>2161</v>
      </c>
      <c r="D17" s="218">
        <v>108.05</v>
      </c>
      <c r="E17" s="218">
        <v>2161</v>
      </c>
      <c r="F17" s="218">
        <v>108.05</v>
      </c>
      <c r="G17" s="218">
        <v>0</v>
      </c>
      <c r="H17" s="256">
        <v>0</v>
      </c>
      <c r="I17" s="218">
        <v>0</v>
      </c>
      <c r="J17" s="256">
        <v>0</v>
      </c>
      <c r="K17" s="218"/>
    </row>
    <row r="18" spans="1:11" ht="20.25" customHeight="1" x14ac:dyDescent="0.2">
      <c r="A18" s="305">
        <v>9</v>
      </c>
      <c r="B18" s="225" t="s">
        <v>400</v>
      </c>
      <c r="C18" s="218">
        <v>1577</v>
      </c>
      <c r="D18" s="218">
        <v>78.849999999999994</v>
      </c>
      <c r="E18" s="218">
        <v>1577</v>
      </c>
      <c r="F18" s="218">
        <v>78.849999999999994</v>
      </c>
      <c r="G18" s="218">
        <v>0</v>
      </c>
      <c r="H18" s="256">
        <v>0</v>
      </c>
      <c r="I18" s="218">
        <v>0</v>
      </c>
      <c r="J18" s="256">
        <v>0</v>
      </c>
      <c r="K18" s="218"/>
    </row>
    <row r="19" spans="1:11" ht="20.25" customHeight="1" x14ac:dyDescent="0.2">
      <c r="A19" s="577">
        <v>10</v>
      </c>
      <c r="B19" s="225" t="s">
        <v>401</v>
      </c>
      <c r="C19" s="218">
        <v>787</v>
      </c>
      <c r="D19" s="218">
        <v>39.35</v>
      </c>
      <c r="E19" s="218">
        <v>787</v>
      </c>
      <c r="F19" s="218">
        <v>39.35</v>
      </c>
      <c r="G19" s="218">
        <v>0</v>
      </c>
      <c r="H19" s="256">
        <v>0</v>
      </c>
      <c r="I19" s="218">
        <v>0</v>
      </c>
      <c r="J19" s="256">
        <v>0</v>
      </c>
      <c r="K19" s="218"/>
    </row>
    <row r="20" spans="1:11" ht="20.25" customHeight="1" x14ac:dyDescent="0.2">
      <c r="A20" s="577">
        <v>11</v>
      </c>
      <c r="B20" s="225" t="s">
        <v>402</v>
      </c>
      <c r="C20" s="218">
        <v>2086</v>
      </c>
      <c r="D20" s="218">
        <v>104.3</v>
      </c>
      <c r="E20" s="218">
        <v>2086</v>
      </c>
      <c r="F20" s="218">
        <v>104.3</v>
      </c>
      <c r="G20" s="218">
        <v>0</v>
      </c>
      <c r="H20" s="256">
        <v>0</v>
      </c>
      <c r="I20" s="218">
        <v>0</v>
      </c>
      <c r="J20" s="256">
        <v>0</v>
      </c>
      <c r="K20" s="218"/>
    </row>
    <row r="21" spans="1:11" ht="20.25" customHeight="1" x14ac:dyDescent="0.2">
      <c r="A21" s="577">
        <v>12</v>
      </c>
      <c r="B21" s="225" t="s">
        <v>403</v>
      </c>
      <c r="C21" s="218">
        <v>1096</v>
      </c>
      <c r="D21" s="218">
        <v>54.8</v>
      </c>
      <c r="E21" s="218">
        <v>1096</v>
      </c>
      <c r="F21" s="218">
        <v>54.8</v>
      </c>
      <c r="G21" s="218">
        <v>0</v>
      </c>
      <c r="H21" s="256">
        <v>0</v>
      </c>
      <c r="I21" s="218">
        <v>0</v>
      </c>
      <c r="J21" s="256">
        <v>0</v>
      </c>
      <c r="K21" s="218"/>
    </row>
    <row r="22" spans="1:11" ht="20.25" customHeight="1" x14ac:dyDescent="0.2">
      <c r="A22" s="577">
        <v>13</v>
      </c>
      <c r="B22" s="225" t="s">
        <v>404</v>
      </c>
      <c r="C22" s="69">
        <v>1122</v>
      </c>
      <c r="D22" s="69">
        <v>56.1</v>
      </c>
      <c r="E22" s="69">
        <v>1122</v>
      </c>
      <c r="F22" s="69">
        <v>56.1</v>
      </c>
      <c r="G22" s="92">
        <v>0</v>
      </c>
      <c r="H22" s="256">
        <v>0</v>
      </c>
      <c r="I22" s="218">
        <v>0</v>
      </c>
      <c r="J22" s="256">
        <v>0</v>
      </c>
      <c r="K22" s="92"/>
    </row>
    <row r="23" spans="1:11" ht="20.25" customHeight="1" x14ac:dyDescent="0.2">
      <c r="A23" s="2" t="s">
        <v>18</v>
      </c>
      <c r="B23" s="194"/>
      <c r="C23" s="195">
        <f>SUM(C10:C22)</f>
        <v>17283</v>
      </c>
      <c r="D23" s="195">
        <f>SUM(D10:D22)</f>
        <v>864.15</v>
      </c>
      <c r="E23" s="195">
        <f t="shared" ref="E23:K23" si="0">SUM(E10:E22)</f>
        <v>17283</v>
      </c>
      <c r="F23" s="195">
        <f t="shared" si="0"/>
        <v>864.15</v>
      </c>
      <c r="G23" s="195">
        <f t="shared" si="0"/>
        <v>0</v>
      </c>
      <c r="H23" s="334">
        <f t="shared" si="0"/>
        <v>0</v>
      </c>
      <c r="I23" s="195">
        <f t="shared" si="0"/>
        <v>0</v>
      </c>
      <c r="J23" s="334">
        <f t="shared" si="0"/>
        <v>0</v>
      </c>
      <c r="K23" s="195">
        <f t="shared" si="0"/>
        <v>0</v>
      </c>
    </row>
    <row r="24" spans="1:11" x14ac:dyDescent="0.2">
      <c r="A24" s="7" t="s">
        <v>42</v>
      </c>
      <c r="B24" s="292"/>
      <c r="C24" s="55"/>
      <c r="D24" s="55"/>
      <c r="E24" s="55"/>
      <c r="F24" s="55"/>
      <c r="G24" s="55"/>
      <c r="H24" s="55"/>
      <c r="I24" s="80"/>
      <c r="J24" s="80"/>
      <c r="K24" s="55"/>
    </row>
    <row r="25" spans="1:11" x14ac:dyDescent="0.2">
      <c r="A25" s="7"/>
      <c r="B25" s="292"/>
      <c r="C25" s="55"/>
      <c r="D25" s="55"/>
      <c r="E25" s="55"/>
      <c r="F25" s="55"/>
      <c r="G25" s="55"/>
      <c r="H25" s="55"/>
      <c r="I25" s="80"/>
      <c r="J25" s="80"/>
      <c r="K25" s="55"/>
    </row>
    <row r="27" spans="1:11" x14ac:dyDescent="0.2">
      <c r="A27" s="12"/>
      <c r="B27" s="55"/>
      <c r="C27" s="55"/>
      <c r="D27" s="55"/>
      <c r="E27" s="55"/>
      <c r="F27" s="55"/>
      <c r="G27" s="55"/>
      <c r="H27" s="55"/>
      <c r="I27" s="12"/>
      <c r="J27" s="1010" t="s">
        <v>12</v>
      </c>
      <c r="K27" s="1010"/>
    </row>
    <row r="28" spans="1:11" x14ac:dyDescent="0.2">
      <c r="A28" s="1086" t="s">
        <v>13</v>
      </c>
      <c r="B28" s="1086"/>
      <c r="C28" s="1086"/>
      <c r="D28" s="1086"/>
      <c r="E28" s="1086"/>
      <c r="F28" s="1086"/>
      <c r="G28" s="1086"/>
      <c r="H28" s="1086"/>
      <c r="I28" s="1086"/>
      <c r="J28" s="1086"/>
      <c r="K28" s="1086"/>
    </row>
    <row r="29" spans="1:11" x14ac:dyDescent="0.2">
      <c r="A29" s="1086" t="s">
        <v>631</v>
      </c>
      <c r="B29" s="1086"/>
      <c r="C29" s="1086"/>
      <c r="D29" s="1086"/>
      <c r="E29" s="1086"/>
      <c r="F29" s="1086"/>
      <c r="G29" s="1086"/>
      <c r="H29" s="1086"/>
      <c r="I29" s="1086"/>
      <c r="J29" s="1086"/>
      <c r="K29" s="1086"/>
    </row>
    <row r="30" spans="1:11" x14ac:dyDescent="0.2">
      <c r="A30" s="11" t="s">
        <v>628</v>
      </c>
      <c r="B30" s="11"/>
      <c r="C30" s="11"/>
      <c r="D30" s="11"/>
      <c r="E30" s="11"/>
      <c r="F30" s="11"/>
      <c r="G30" s="12"/>
      <c r="H30" s="12"/>
      <c r="I30" s="24"/>
      <c r="J30" s="24" t="s">
        <v>23</v>
      </c>
      <c r="K30" s="12"/>
    </row>
    <row r="31" spans="1:11" x14ac:dyDescent="0.2">
      <c r="A31" s="11"/>
      <c r="B31" s="12"/>
      <c r="C31" s="12"/>
      <c r="D31" s="12"/>
      <c r="E31" s="12"/>
      <c r="F31" s="12"/>
      <c r="G31" s="12"/>
      <c r="H31" s="12"/>
      <c r="I31" s="12"/>
      <c r="J31" s="12"/>
      <c r="K31" s="12"/>
    </row>
  </sheetData>
  <mergeCells count="16">
    <mergeCell ref="J27:K27"/>
    <mergeCell ref="A28:K28"/>
    <mergeCell ref="A29:K29"/>
    <mergeCell ref="I7:J7"/>
    <mergeCell ref="D1:E1"/>
    <mergeCell ref="J1:K1"/>
    <mergeCell ref="A2:J2"/>
    <mergeCell ref="A3:J3"/>
    <mergeCell ref="A4:K4"/>
    <mergeCell ref="I6:K6"/>
    <mergeCell ref="K7:K8"/>
    <mergeCell ref="A7:A8"/>
    <mergeCell ref="B7:B8"/>
    <mergeCell ref="C7:D7"/>
    <mergeCell ref="E7:F7"/>
    <mergeCell ref="G7:H7"/>
  </mergeCells>
  <printOptions horizontalCentered="1"/>
  <pageMargins left="0.53" right="0.41" top="0.39" bottom="0.32" header="0.26" footer="0.23"/>
  <pageSetup paperSize="9" scale="94"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N31"/>
  <sheetViews>
    <sheetView view="pageBreakPreview" topLeftCell="C13" zoomScaleSheetLayoutView="100" workbookViewId="0">
      <selection activeCell="F25" sqref="F25"/>
    </sheetView>
  </sheetViews>
  <sheetFormatPr defaultRowHeight="12.75" x14ac:dyDescent="0.2"/>
  <cols>
    <col min="1" max="1" width="7.140625" style="12" customWidth="1"/>
    <col min="2" max="2" width="19.5703125" style="12" customWidth="1"/>
    <col min="3" max="3" width="18.42578125" style="12" customWidth="1"/>
    <col min="4" max="4" width="20.28515625" style="367" customWidth="1"/>
    <col min="5" max="5" width="21.7109375" style="367" customWidth="1"/>
    <col min="6" max="6" width="23.85546875" style="367" customWidth="1"/>
    <col min="7" max="7" width="24.28515625" style="367" customWidth="1"/>
    <col min="8" max="16384" width="9.140625" style="12"/>
  </cols>
  <sheetData>
    <row r="1" spans="1:14" x14ac:dyDescent="0.2">
      <c r="G1" s="497" t="s">
        <v>675</v>
      </c>
    </row>
    <row r="2" spans="1:14" ht="15.75" x14ac:dyDescent="0.25">
      <c r="A2" s="1056" t="s">
        <v>0</v>
      </c>
      <c r="B2" s="1056"/>
      <c r="C2" s="1056"/>
      <c r="D2" s="1056"/>
      <c r="E2" s="1056"/>
      <c r="F2" s="1056"/>
      <c r="G2" s="1056"/>
      <c r="H2" s="70"/>
      <c r="I2" s="70"/>
      <c r="J2" s="70"/>
      <c r="K2" s="70"/>
      <c r="L2" s="70"/>
      <c r="M2" s="70"/>
      <c r="N2" s="70"/>
    </row>
    <row r="3" spans="1:14" ht="20.25" x14ac:dyDescent="0.3">
      <c r="A3" s="1056" t="s">
        <v>794</v>
      </c>
      <c r="B3" s="1056"/>
      <c r="C3" s="1056"/>
      <c r="D3" s="1056"/>
      <c r="E3" s="1056"/>
      <c r="F3" s="1056"/>
      <c r="G3" s="1056"/>
      <c r="H3" s="33"/>
      <c r="I3" s="33"/>
      <c r="J3" s="33"/>
      <c r="K3" s="33"/>
      <c r="L3" s="33"/>
      <c r="M3" s="33"/>
      <c r="N3" s="33"/>
    </row>
    <row r="5" spans="1:14" ht="18" x14ac:dyDescent="0.25">
      <c r="A5" s="1154" t="s">
        <v>674</v>
      </c>
      <c r="B5" s="1154"/>
      <c r="C5" s="1154"/>
      <c r="D5" s="1154"/>
      <c r="E5" s="1154"/>
      <c r="F5" s="1154"/>
      <c r="G5" s="1154"/>
      <c r="H5" s="70"/>
      <c r="I5" s="70"/>
      <c r="J5" s="70"/>
      <c r="K5" s="70"/>
      <c r="L5" s="70"/>
      <c r="M5" s="70"/>
      <c r="N5" s="70"/>
    </row>
    <row r="6" spans="1:14" s="468" customFormat="1" ht="17.25" x14ac:dyDescent="0.35">
      <c r="A6" s="1163" t="s">
        <v>463</v>
      </c>
      <c r="B6" s="1163"/>
      <c r="C6" s="1163"/>
      <c r="D6" s="498"/>
      <c r="E6" s="498"/>
      <c r="F6" s="1164" t="s">
        <v>911</v>
      </c>
      <c r="G6" s="1164"/>
      <c r="H6" s="70"/>
      <c r="I6" s="498"/>
      <c r="L6" s="470"/>
      <c r="M6" s="1061"/>
      <c r="N6" s="1061"/>
    </row>
    <row r="7" spans="1:14" s="485" customFormat="1" ht="31.5" customHeight="1" x14ac:dyDescent="0.2">
      <c r="A7" s="960" t="s">
        <v>2</v>
      </c>
      <c r="B7" s="960" t="s">
        <v>3</v>
      </c>
      <c r="C7" s="1268" t="s">
        <v>638</v>
      </c>
      <c r="D7" s="1269" t="s">
        <v>637</v>
      </c>
      <c r="E7" s="1270"/>
      <c r="F7" s="1270"/>
      <c r="G7" s="1271"/>
      <c r="H7" s="447"/>
    </row>
    <row r="8" spans="1:14" s="485" customFormat="1" ht="26.25" customHeight="1" x14ac:dyDescent="0.2">
      <c r="A8" s="960"/>
      <c r="B8" s="960"/>
      <c r="C8" s="1268"/>
      <c r="D8" s="499" t="s">
        <v>636</v>
      </c>
      <c r="E8" s="499" t="s">
        <v>635</v>
      </c>
      <c r="F8" s="499" t="s">
        <v>634</v>
      </c>
      <c r="G8" s="499" t="s">
        <v>48</v>
      </c>
    </row>
    <row r="9" spans="1:14" ht="14.25" x14ac:dyDescent="0.2">
      <c r="A9" s="4">
        <v>1</v>
      </c>
      <c r="B9" s="4">
        <v>2</v>
      </c>
      <c r="C9" s="4">
        <v>3</v>
      </c>
      <c r="D9" s="496">
        <v>6</v>
      </c>
      <c r="E9" s="496">
        <v>7</v>
      </c>
      <c r="F9" s="496">
        <v>8</v>
      </c>
      <c r="G9" s="496">
        <v>9</v>
      </c>
      <c r="H9" s="485"/>
    </row>
    <row r="10" spans="1:14" ht="19.5" customHeight="1" x14ac:dyDescent="0.2">
      <c r="A10" s="194">
        <v>1</v>
      </c>
      <c r="B10" s="225" t="s">
        <v>392</v>
      </c>
      <c r="C10" s="350">
        <v>1864</v>
      </c>
      <c r="D10" s="500">
        <v>776</v>
      </c>
      <c r="E10" s="226">
        <v>0</v>
      </c>
      <c r="F10" s="226">
        <f>C10-D10</f>
        <v>1088</v>
      </c>
      <c r="G10" s="226">
        <v>0</v>
      </c>
      <c r="H10" s="485"/>
    </row>
    <row r="11" spans="1:14" ht="19.5" customHeight="1" x14ac:dyDescent="0.2">
      <c r="A11" s="194">
        <v>2</v>
      </c>
      <c r="B11" s="225" t="s">
        <v>393</v>
      </c>
      <c r="C11" s="350">
        <v>819</v>
      </c>
      <c r="D11" s="500">
        <v>533</v>
      </c>
      <c r="E11" s="226">
        <v>0</v>
      </c>
      <c r="F11" s="226">
        <f t="shared" ref="F11:F22" si="0">C11-D11</f>
        <v>286</v>
      </c>
      <c r="G11" s="226">
        <v>0</v>
      </c>
      <c r="H11" s="485"/>
    </row>
    <row r="12" spans="1:14" ht="19.5" customHeight="1" x14ac:dyDescent="0.2">
      <c r="A12" s="194">
        <v>3</v>
      </c>
      <c r="B12" s="225" t="s">
        <v>394</v>
      </c>
      <c r="C12" s="350">
        <v>1406</v>
      </c>
      <c r="D12" s="500">
        <v>349</v>
      </c>
      <c r="E12" s="226">
        <v>0</v>
      </c>
      <c r="F12" s="226">
        <f t="shared" si="0"/>
        <v>1057</v>
      </c>
      <c r="G12" s="226">
        <v>0</v>
      </c>
      <c r="H12" s="485"/>
    </row>
    <row r="13" spans="1:14" ht="19.5" customHeight="1" x14ac:dyDescent="0.2">
      <c r="A13" s="194">
        <v>4</v>
      </c>
      <c r="B13" s="225" t="s">
        <v>395</v>
      </c>
      <c r="C13" s="350">
        <v>714</v>
      </c>
      <c r="D13" s="500">
        <v>245</v>
      </c>
      <c r="E13" s="226">
        <v>0</v>
      </c>
      <c r="F13" s="226">
        <f t="shared" si="0"/>
        <v>469</v>
      </c>
      <c r="G13" s="226">
        <v>0</v>
      </c>
      <c r="H13" s="485"/>
    </row>
    <row r="14" spans="1:14" ht="19.5" customHeight="1" x14ac:dyDescent="0.2">
      <c r="A14" s="194">
        <v>5</v>
      </c>
      <c r="B14" s="227" t="s">
        <v>396</v>
      </c>
      <c r="C14" s="350">
        <v>1442</v>
      </c>
      <c r="D14" s="500">
        <v>855</v>
      </c>
      <c r="E14" s="226">
        <v>0</v>
      </c>
      <c r="F14" s="226">
        <f t="shared" si="0"/>
        <v>587</v>
      </c>
      <c r="G14" s="226">
        <v>0</v>
      </c>
      <c r="H14" s="485"/>
    </row>
    <row r="15" spans="1:14" ht="19.5" customHeight="1" x14ac:dyDescent="0.2">
      <c r="A15" s="194">
        <v>6</v>
      </c>
      <c r="B15" s="225" t="s">
        <v>397</v>
      </c>
      <c r="C15" s="350">
        <v>1086</v>
      </c>
      <c r="D15" s="500">
        <v>522</v>
      </c>
      <c r="E15" s="226">
        <v>0</v>
      </c>
      <c r="F15" s="226">
        <f t="shared" si="0"/>
        <v>564</v>
      </c>
      <c r="G15" s="226">
        <v>0</v>
      </c>
      <c r="H15" s="485"/>
    </row>
    <row r="16" spans="1:14" ht="19.5" customHeight="1" x14ac:dyDescent="0.2">
      <c r="A16" s="194">
        <v>7</v>
      </c>
      <c r="B16" s="227" t="s">
        <v>398</v>
      </c>
      <c r="C16" s="350">
        <v>1427</v>
      </c>
      <c r="D16" s="500">
        <v>474</v>
      </c>
      <c r="E16" s="226">
        <v>0</v>
      </c>
      <c r="F16" s="226">
        <f t="shared" si="0"/>
        <v>953</v>
      </c>
      <c r="G16" s="226">
        <v>0</v>
      </c>
      <c r="H16" s="485"/>
    </row>
    <row r="17" spans="1:8" ht="19.5" customHeight="1" x14ac:dyDescent="0.2">
      <c r="A17" s="194">
        <v>8</v>
      </c>
      <c r="B17" s="225" t="s">
        <v>399</v>
      </c>
      <c r="C17" s="350">
        <v>2224</v>
      </c>
      <c r="D17" s="500">
        <v>1589</v>
      </c>
      <c r="E17" s="226">
        <v>0</v>
      </c>
      <c r="F17" s="226">
        <f t="shared" si="0"/>
        <v>635</v>
      </c>
      <c r="G17" s="226">
        <v>0</v>
      </c>
      <c r="H17" s="485"/>
    </row>
    <row r="18" spans="1:8" ht="19.5" customHeight="1" x14ac:dyDescent="0.2">
      <c r="A18" s="194">
        <v>9</v>
      </c>
      <c r="B18" s="225" t="s">
        <v>400</v>
      </c>
      <c r="C18" s="350">
        <v>1559</v>
      </c>
      <c r="D18" s="500">
        <v>1522</v>
      </c>
      <c r="E18" s="226">
        <v>0</v>
      </c>
      <c r="F18" s="226">
        <f t="shared" si="0"/>
        <v>37</v>
      </c>
      <c r="G18" s="226">
        <v>0</v>
      </c>
      <c r="H18" s="485"/>
    </row>
    <row r="19" spans="1:8" ht="19.5" customHeight="1" x14ac:dyDescent="0.2">
      <c r="A19" s="194">
        <v>10</v>
      </c>
      <c r="B19" s="225" t="s">
        <v>401</v>
      </c>
      <c r="C19" s="350">
        <v>814</v>
      </c>
      <c r="D19" s="500">
        <v>311</v>
      </c>
      <c r="E19" s="226">
        <v>0</v>
      </c>
      <c r="F19" s="226">
        <f t="shared" si="0"/>
        <v>503</v>
      </c>
      <c r="G19" s="226">
        <v>2</v>
      </c>
      <c r="H19" s="485"/>
    </row>
    <row r="20" spans="1:8" ht="19.5" customHeight="1" x14ac:dyDescent="0.2">
      <c r="A20" s="194">
        <v>11</v>
      </c>
      <c r="B20" s="225" t="s">
        <v>402</v>
      </c>
      <c r="C20" s="350">
        <v>1988</v>
      </c>
      <c r="D20" s="500">
        <v>1344</v>
      </c>
      <c r="E20" s="226">
        <v>0</v>
      </c>
      <c r="F20" s="226">
        <f t="shared" si="0"/>
        <v>644</v>
      </c>
      <c r="G20" s="226">
        <v>0</v>
      </c>
      <c r="H20" s="485"/>
    </row>
    <row r="21" spans="1:8" ht="19.5" customHeight="1" x14ac:dyDescent="0.2">
      <c r="A21" s="194">
        <v>12</v>
      </c>
      <c r="B21" s="225" t="s">
        <v>403</v>
      </c>
      <c r="C21" s="350">
        <v>1255</v>
      </c>
      <c r="D21" s="500">
        <v>1190</v>
      </c>
      <c r="E21" s="226">
        <v>0</v>
      </c>
      <c r="F21" s="226">
        <f t="shared" si="0"/>
        <v>65</v>
      </c>
      <c r="G21" s="226">
        <v>0</v>
      </c>
      <c r="H21" s="485"/>
    </row>
    <row r="22" spans="1:8" ht="19.5" customHeight="1" x14ac:dyDescent="0.2">
      <c r="A22" s="194">
        <v>13</v>
      </c>
      <c r="B22" s="225" t="s">
        <v>404</v>
      </c>
      <c r="C22" s="350">
        <v>1066</v>
      </c>
      <c r="D22" s="500">
        <v>594</v>
      </c>
      <c r="E22" s="226">
        <v>0</v>
      </c>
      <c r="F22" s="226">
        <f t="shared" si="0"/>
        <v>472</v>
      </c>
      <c r="G22" s="226">
        <v>0</v>
      </c>
      <c r="H22" s="485"/>
    </row>
    <row r="23" spans="1:8" ht="19.5" customHeight="1" x14ac:dyDescent="0.2">
      <c r="A23" s="232" t="s">
        <v>18</v>
      </c>
      <c r="B23" s="232"/>
      <c r="C23" s="434">
        <f>SUM(C10:C22)</f>
        <v>17664</v>
      </c>
      <c r="D23" s="434">
        <f>SUM(D10:D22)</f>
        <v>10304</v>
      </c>
      <c r="E23" s="434">
        <f>SUM(E10:E22)</f>
        <v>0</v>
      </c>
      <c r="F23" s="434">
        <f>SUM(F10:F22)</f>
        <v>7360</v>
      </c>
      <c r="G23" s="434">
        <f>SUM(G10:G22)</f>
        <v>2</v>
      </c>
      <c r="H23" s="485"/>
    </row>
    <row r="24" spans="1:8" ht="19.5" customHeight="1" x14ac:dyDescent="0.2">
      <c r="A24" s="373"/>
      <c r="B24" s="373"/>
      <c r="C24" s="534"/>
      <c r="D24" s="534"/>
      <c r="E24" s="534"/>
      <c r="F24" s="534"/>
      <c r="G24" s="534"/>
      <c r="H24" s="485"/>
    </row>
    <row r="25" spans="1:8" ht="19.5" customHeight="1" x14ac:dyDescent="0.2">
      <c r="A25" s="578"/>
      <c r="B25" s="373"/>
      <c r="C25" s="534"/>
      <c r="D25" s="534"/>
      <c r="E25" s="534"/>
      <c r="F25" s="928">
        <f>F23/C23</f>
        <v>0.41666666666666669</v>
      </c>
      <c r="G25" s="534"/>
    </row>
    <row r="26" spans="1:8" ht="15" customHeight="1" x14ac:dyDescent="0.2">
      <c r="A26" s="116"/>
      <c r="B26" s="116"/>
      <c r="C26" s="116"/>
      <c r="D26" s="117"/>
      <c r="E26" s="117"/>
      <c r="F26" s="117"/>
      <c r="G26" s="117"/>
    </row>
    <row r="27" spans="1:8" ht="15" customHeight="1" x14ac:dyDescent="0.2">
      <c r="A27" s="116"/>
      <c r="B27" s="116"/>
      <c r="C27" s="116"/>
      <c r="D27" s="532"/>
      <c r="E27" s="117"/>
      <c r="F27" s="117"/>
      <c r="G27" s="117"/>
    </row>
    <row r="28" spans="1:8" ht="15" customHeight="1" x14ac:dyDescent="0.2">
      <c r="A28" s="116"/>
      <c r="B28" s="116"/>
      <c r="C28" s="116"/>
      <c r="D28" s="533"/>
      <c r="E28" s="126"/>
      <c r="F28" s="1187" t="s">
        <v>12</v>
      </c>
      <c r="G28" s="1187"/>
      <c r="H28" s="126"/>
    </row>
    <row r="29" spans="1:8" ht="12.75" customHeight="1" x14ac:dyDescent="0.2">
      <c r="A29" s="116" t="s">
        <v>11</v>
      </c>
      <c r="C29" s="116"/>
      <c r="D29" s="533"/>
      <c r="E29" s="126"/>
      <c r="F29" s="1187" t="s">
        <v>13</v>
      </c>
      <c r="G29" s="1187"/>
      <c r="H29" s="126"/>
    </row>
    <row r="30" spans="1:8" ht="12.75" customHeight="1" x14ac:dyDescent="0.2">
      <c r="D30" s="533"/>
      <c r="E30" s="126"/>
      <c r="F30" s="1187" t="s">
        <v>649</v>
      </c>
      <c r="G30" s="1187"/>
      <c r="H30" s="126"/>
    </row>
    <row r="31" spans="1:8" x14ac:dyDescent="0.2">
      <c r="D31" s="533"/>
      <c r="E31" s="120"/>
      <c r="F31" s="120" t="s">
        <v>648</v>
      </c>
      <c r="G31" s="120"/>
      <c r="H31" s="116"/>
    </row>
  </sheetData>
  <mergeCells count="13">
    <mergeCell ref="A2:G2"/>
    <mergeCell ref="A3:G3"/>
    <mergeCell ref="A5:G5"/>
    <mergeCell ref="D7:G7"/>
    <mergeCell ref="A6:C6"/>
    <mergeCell ref="F30:G30"/>
    <mergeCell ref="M6:N6"/>
    <mergeCell ref="A7:A8"/>
    <mergeCell ref="B7:B8"/>
    <mergeCell ref="C7:C8"/>
    <mergeCell ref="F6:G6"/>
    <mergeCell ref="F29:G29"/>
    <mergeCell ref="F28:G28"/>
  </mergeCells>
  <printOptions horizontalCentered="1"/>
  <pageMargins left="0.25" right="0.41" top="0.39" bottom="0" header="0.16" footer="0.31496062992125984"/>
  <pageSetup paperSize="9" orientation="landscape" r:id="rId1"/>
  <colBreaks count="1" manualBreakCount="1">
    <brk id="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30"/>
  <sheetViews>
    <sheetView view="pageBreakPreview" topLeftCell="A10" zoomScale="118" zoomScaleSheetLayoutView="118" workbookViewId="0">
      <selection activeCell="J26" sqref="J26"/>
    </sheetView>
  </sheetViews>
  <sheetFormatPr defaultRowHeight="12.75" x14ac:dyDescent="0.2"/>
  <cols>
    <col min="1" max="1" width="5.7109375" customWidth="1"/>
    <col min="2" max="2" width="16" customWidth="1"/>
    <col min="3" max="3" width="12.140625" customWidth="1"/>
    <col min="4" max="4" width="10.140625" customWidth="1"/>
    <col min="5" max="5" width="8" customWidth="1"/>
    <col min="6" max="6" width="11.7109375" customWidth="1"/>
    <col min="7" max="7" width="11.28515625" customWidth="1"/>
    <col min="8" max="8" width="9.7109375" customWidth="1"/>
    <col min="9" max="9" width="10.42578125" customWidth="1"/>
    <col min="10" max="10" width="11.42578125" customWidth="1"/>
    <col min="11" max="12" width="10.140625" customWidth="1"/>
    <col min="13" max="13" width="11.140625" customWidth="1"/>
    <col min="14" max="14" width="14.7109375" customWidth="1"/>
  </cols>
  <sheetData>
    <row r="1" spans="1:14" x14ac:dyDescent="0.2">
      <c r="N1" s="133" t="s">
        <v>677</v>
      </c>
    </row>
    <row r="2" spans="1:14" ht="18" x14ac:dyDescent="0.35">
      <c r="A2" s="1201" t="s">
        <v>0</v>
      </c>
      <c r="B2" s="1201"/>
      <c r="C2" s="1201"/>
      <c r="D2" s="1201"/>
      <c r="E2" s="1201"/>
      <c r="F2" s="1201"/>
      <c r="G2" s="1201"/>
      <c r="H2" s="1201"/>
      <c r="I2" s="1201"/>
      <c r="J2" s="1201"/>
      <c r="K2" s="1201"/>
      <c r="L2" s="1201"/>
      <c r="M2" s="1201"/>
      <c r="N2" s="1201"/>
    </row>
    <row r="3" spans="1:14" ht="21" x14ac:dyDescent="0.2">
      <c r="A3" s="1273" t="s">
        <v>794</v>
      </c>
      <c r="B3" s="1273"/>
      <c r="C3" s="1273"/>
      <c r="D3" s="1273"/>
      <c r="E3" s="1273"/>
      <c r="F3" s="1273"/>
      <c r="G3" s="1273"/>
      <c r="H3" s="1273"/>
      <c r="I3" s="1273"/>
      <c r="J3" s="1273"/>
      <c r="K3" s="1273"/>
      <c r="L3" s="1273"/>
      <c r="M3" s="1273"/>
      <c r="N3" s="1273"/>
    </row>
    <row r="4" spans="1:14" ht="9.75" customHeight="1" x14ac:dyDescent="0.3">
      <c r="A4" s="113"/>
      <c r="B4" s="113"/>
      <c r="C4" s="113"/>
      <c r="D4" s="113"/>
      <c r="E4" s="113"/>
      <c r="F4" s="113"/>
      <c r="G4" s="113"/>
      <c r="H4" s="113"/>
      <c r="I4" s="113"/>
      <c r="J4" s="113"/>
    </row>
    <row r="5" spans="1:14" ht="21" x14ac:dyDescent="0.2">
      <c r="A5" s="1272" t="s">
        <v>676</v>
      </c>
      <c r="B5" s="1272"/>
      <c r="C5" s="1272"/>
      <c r="D5" s="1272"/>
      <c r="E5" s="1272"/>
      <c r="F5" s="1272"/>
      <c r="G5" s="1272"/>
      <c r="H5" s="1272"/>
      <c r="I5" s="1272"/>
      <c r="J5" s="1272"/>
      <c r="K5" s="1272"/>
      <c r="L5" s="1272"/>
      <c r="M5" s="1272"/>
      <c r="N5" s="1272"/>
    </row>
    <row r="6" spans="1:14" ht="15" x14ac:dyDescent="0.3">
      <c r="A6" s="114" t="s">
        <v>588</v>
      </c>
      <c r="B6" s="114"/>
      <c r="C6" s="114"/>
      <c r="D6" s="114"/>
      <c r="E6" s="114"/>
      <c r="F6" s="114"/>
      <c r="G6" s="114"/>
      <c r="H6" s="113"/>
      <c r="I6" s="113"/>
      <c r="J6" s="113"/>
      <c r="L6" s="1153" t="s">
        <v>911</v>
      </c>
      <c r="M6" s="1153"/>
      <c r="N6" s="1153"/>
    </row>
    <row r="7" spans="1:14" ht="38.25" customHeight="1" x14ac:dyDescent="0.2">
      <c r="A7" s="1206" t="s">
        <v>2</v>
      </c>
      <c r="B7" s="1206" t="s">
        <v>38</v>
      </c>
      <c r="C7" s="1064" t="s">
        <v>567</v>
      </c>
      <c r="D7" s="1091" t="s">
        <v>568</v>
      </c>
      <c r="E7" s="1091"/>
      <c r="F7" s="1091"/>
      <c r="G7" s="1091"/>
      <c r="H7" s="1092"/>
      <c r="I7" s="1066" t="s">
        <v>680</v>
      </c>
      <c r="J7" s="1066" t="s">
        <v>681</v>
      </c>
      <c r="K7" s="1202" t="s">
        <v>679</v>
      </c>
      <c r="L7" s="1202"/>
      <c r="M7" s="1202"/>
      <c r="N7" s="1202"/>
    </row>
    <row r="8" spans="1:14" ht="27" customHeight="1" x14ac:dyDescent="0.2">
      <c r="A8" s="1207"/>
      <c r="B8" s="1207"/>
      <c r="C8" s="1064"/>
      <c r="D8" s="195" t="s">
        <v>569</v>
      </c>
      <c r="E8" s="195" t="s">
        <v>570</v>
      </c>
      <c r="F8" s="194" t="s">
        <v>571</v>
      </c>
      <c r="G8" s="195" t="s">
        <v>572</v>
      </c>
      <c r="H8" s="195" t="s">
        <v>48</v>
      </c>
      <c r="I8" s="1067"/>
      <c r="J8" s="1067"/>
      <c r="K8" s="231" t="s">
        <v>573</v>
      </c>
      <c r="L8" s="231" t="s">
        <v>678</v>
      </c>
      <c r="M8" s="195" t="s">
        <v>574</v>
      </c>
      <c r="N8" s="196" t="s">
        <v>575</v>
      </c>
    </row>
    <row r="9" spans="1:14" s="565" customFormat="1" ht="18.75" customHeight="1" x14ac:dyDescent="0.2">
      <c r="A9" s="224" t="s">
        <v>293</v>
      </c>
      <c r="B9" s="224" t="s">
        <v>294</v>
      </c>
      <c r="C9" s="224" t="s">
        <v>295</v>
      </c>
      <c r="D9" s="224" t="s">
        <v>296</v>
      </c>
      <c r="E9" s="224" t="s">
        <v>297</v>
      </c>
      <c r="F9" s="224" t="s">
        <v>298</v>
      </c>
      <c r="G9" s="224" t="s">
        <v>299</v>
      </c>
      <c r="H9" s="224" t="s">
        <v>300</v>
      </c>
      <c r="I9" s="224" t="s">
        <v>321</v>
      </c>
      <c r="J9" s="224" t="s">
        <v>322</v>
      </c>
      <c r="K9" s="224" t="s">
        <v>323</v>
      </c>
      <c r="L9" s="224" t="s">
        <v>351</v>
      </c>
      <c r="M9" s="224" t="s">
        <v>352</v>
      </c>
      <c r="N9" s="224" t="s">
        <v>353</v>
      </c>
    </row>
    <row r="10" spans="1:14" ht="18.75" customHeight="1" x14ac:dyDescent="0.2">
      <c r="A10" s="218">
        <v>1</v>
      </c>
      <c r="B10" s="225" t="s">
        <v>392</v>
      </c>
      <c r="C10" s="92">
        <v>1864</v>
      </c>
      <c r="D10" s="218">
        <v>0</v>
      </c>
      <c r="E10" s="218">
        <v>1694</v>
      </c>
      <c r="F10" s="218">
        <v>7</v>
      </c>
      <c r="G10" s="218">
        <v>0</v>
      </c>
      <c r="H10" s="218">
        <f>C10-(E10+F10+G10)</f>
        <v>163</v>
      </c>
      <c r="I10" s="218">
        <v>0</v>
      </c>
      <c r="J10" s="849">
        <v>1864</v>
      </c>
      <c r="K10" s="849">
        <v>1864</v>
      </c>
      <c r="L10" s="849">
        <v>1864</v>
      </c>
      <c r="M10" s="218">
        <v>635</v>
      </c>
      <c r="N10" s="849">
        <v>1864</v>
      </c>
    </row>
    <row r="11" spans="1:14" ht="18.75" customHeight="1" x14ac:dyDescent="0.2">
      <c r="A11" s="218">
        <v>2</v>
      </c>
      <c r="B11" s="225" t="s">
        <v>393</v>
      </c>
      <c r="C11" s="92">
        <v>819</v>
      </c>
      <c r="D11" s="218">
        <v>0</v>
      </c>
      <c r="E11" s="218">
        <v>817</v>
      </c>
      <c r="F11" s="218">
        <v>0</v>
      </c>
      <c r="G11" s="218">
        <v>2</v>
      </c>
      <c r="H11" s="218">
        <f t="shared" ref="H11:H19" si="0">C11-(E11+F11+G11)</f>
        <v>0</v>
      </c>
      <c r="I11" s="218">
        <v>0</v>
      </c>
      <c r="J11" s="849">
        <v>819</v>
      </c>
      <c r="K11" s="849">
        <v>819</v>
      </c>
      <c r="L11" s="849">
        <v>819</v>
      </c>
      <c r="M11" s="218">
        <v>0</v>
      </c>
      <c r="N11" s="849">
        <v>819</v>
      </c>
    </row>
    <row r="12" spans="1:14" ht="18.75" customHeight="1" x14ac:dyDescent="0.2">
      <c r="A12" s="218">
        <v>3</v>
      </c>
      <c r="B12" s="225" t="s">
        <v>394</v>
      </c>
      <c r="C12" s="92">
        <v>1406</v>
      </c>
      <c r="D12" s="218">
        <v>0</v>
      </c>
      <c r="E12" s="218">
        <v>1374</v>
      </c>
      <c r="F12" s="218">
        <v>0</v>
      </c>
      <c r="G12" s="218">
        <v>0</v>
      </c>
      <c r="H12" s="218">
        <f t="shared" si="0"/>
        <v>32</v>
      </c>
      <c r="I12" s="218">
        <v>0</v>
      </c>
      <c r="J12" s="849">
        <v>1406</v>
      </c>
      <c r="K12" s="849">
        <v>1406</v>
      </c>
      <c r="L12" s="849">
        <v>1406</v>
      </c>
      <c r="M12" s="218">
        <v>0</v>
      </c>
      <c r="N12" s="849">
        <v>1406</v>
      </c>
    </row>
    <row r="13" spans="1:14" ht="18.75" customHeight="1" x14ac:dyDescent="0.2">
      <c r="A13" s="218">
        <v>4</v>
      </c>
      <c r="B13" s="225" t="s">
        <v>395</v>
      </c>
      <c r="C13" s="92">
        <v>714</v>
      </c>
      <c r="D13" s="218">
        <v>0</v>
      </c>
      <c r="E13" s="218">
        <v>656</v>
      </c>
      <c r="F13" s="218">
        <v>39</v>
      </c>
      <c r="G13" s="218">
        <v>5</v>
      </c>
      <c r="H13" s="218">
        <f t="shared" si="0"/>
        <v>14</v>
      </c>
      <c r="I13" s="218">
        <v>0</v>
      </c>
      <c r="J13" s="849">
        <v>714</v>
      </c>
      <c r="K13" s="849">
        <v>714</v>
      </c>
      <c r="L13" s="849">
        <v>714</v>
      </c>
      <c r="M13" s="218">
        <v>0</v>
      </c>
      <c r="N13" s="849">
        <v>714</v>
      </c>
    </row>
    <row r="14" spans="1:14" ht="18.75" customHeight="1" x14ac:dyDescent="0.2">
      <c r="A14" s="218">
        <v>5</v>
      </c>
      <c r="B14" s="227" t="s">
        <v>396</v>
      </c>
      <c r="C14" s="92">
        <v>1442</v>
      </c>
      <c r="D14" s="218">
        <v>128</v>
      </c>
      <c r="E14" s="218">
        <v>1392</v>
      </c>
      <c r="F14" s="218">
        <v>8</v>
      </c>
      <c r="G14" s="218">
        <v>0</v>
      </c>
      <c r="H14" s="218">
        <f t="shared" si="0"/>
        <v>42</v>
      </c>
      <c r="I14" s="218">
        <v>0</v>
      </c>
      <c r="J14" s="849">
        <v>1442</v>
      </c>
      <c r="K14" s="849">
        <v>1442</v>
      </c>
      <c r="L14" s="849">
        <v>1442</v>
      </c>
      <c r="M14" s="218">
        <v>0</v>
      </c>
      <c r="N14" s="849">
        <v>1442</v>
      </c>
    </row>
    <row r="15" spans="1:14" ht="18.75" customHeight="1" x14ac:dyDescent="0.2">
      <c r="A15" s="218">
        <v>6</v>
      </c>
      <c r="B15" s="225" t="s">
        <v>397</v>
      </c>
      <c r="C15" s="92">
        <v>1086</v>
      </c>
      <c r="D15" s="218">
        <v>221</v>
      </c>
      <c r="E15" s="218">
        <v>1061</v>
      </c>
      <c r="F15" s="218">
        <v>571</v>
      </c>
      <c r="G15" s="218">
        <v>0</v>
      </c>
      <c r="H15" s="218">
        <v>0</v>
      </c>
      <c r="I15" s="218">
        <v>0</v>
      </c>
      <c r="J15" s="849">
        <v>1086</v>
      </c>
      <c r="K15" s="849">
        <v>1086</v>
      </c>
      <c r="L15" s="849">
        <v>1086</v>
      </c>
      <c r="M15" s="218">
        <v>0</v>
      </c>
      <c r="N15" s="849">
        <v>1086</v>
      </c>
    </row>
    <row r="16" spans="1:14" ht="18.75" customHeight="1" x14ac:dyDescent="0.2">
      <c r="A16" s="218">
        <v>7</v>
      </c>
      <c r="B16" s="227" t="s">
        <v>398</v>
      </c>
      <c r="C16" s="92">
        <v>1427</v>
      </c>
      <c r="D16" s="218">
        <v>0</v>
      </c>
      <c r="E16" s="218">
        <v>1364</v>
      </c>
      <c r="F16" s="218">
        <f>C16-E16</f>
        <v>63</v>
      </c>
      <c r="G16" s="218">
        <v>0</v>
      </c>
      <c r="H16" s="218">
        <f t="shared" si="0"/>
        <v>0</v>
      </c>
      <c r="I16" s="218">
        <v>0</v>
      </c>
      <c r="J16" s="849">
        <v>1427</v>
      </c>
      <c r="K16" s="849">
        <v>1427</v>
      </c>
      <c r="L16" s="849">
        <v>1427</v>
      </c>
      <c r="M16" s="218">
        <v>0</v>
      </c>
      <c r="N16" s="849">
        <v>1427</v>
      </c>
    </row>
    <row r="17" spans="1:16" ht="18.75" customHeight="1" x14ac:dyDescent="0.2">
      <c r="A17" s="218">
        <v>8</v>
      </c>
      <c r="B17" s="225" t="s">
        <v>399</v>
      </c>
      <c r="C17" s="92">
        <v>2224</v>
      </c>
      <c r="D17" s="218">
        <v>15</v>
      </c>
      <c r="E17" s="218">
        <v>2104</v>
      </c>
      <c r="F17" s="218">
        <v>0</v>
      </c>
      <c r="G17" s="218">
        <v>0</v>
      </c>
      <c r="H17" s="218">
        <v>121</v>
      </c>
      <c r="I17" s="218">
        <v>0</v>
      </c>
      <c r="J17" s="849">
        <v>2224</v>
      </c>
      <c r="K17" s="849">
        <v>2224</v>
      </c>
      <c r="L17" s="849">
        <v>2224</v>
      </c>
      <c r="M17" s="218">
        <v>0</v>
      </c>
      <c r="N17" s="849">
        <v>2224</v>
      </c>
    </row>
    <row r="18" spans="1:16" ht="18.75" customHeight="1" x14ac:dyDescent="0.2">
      <c r="A18" s="218">
        <v>9</v>
      </c>
      <c r="B18" s="225" t="s">
        <v>400</v>
      </c>
      <c r="C18" s="92">
        <v>1559</v>
      </c>
      <c r="D18" s="218">
        <v>1</v>
      </c>
      <c r="E18" s="218">
        <v>1586</v>
      </c>
      <c r="F18" s="218">
        <v>10</v>
      </c>
      <c r="G18" s="218">
        <v>3</v>
      </c>
      <c r="H18" s="218">
        <v>0</v>
      </c>
      <c r="I18" s="218">
        <v>0</v>
      </c>
      <c r="J18" s="849">
        <v>1559</v>
      </c>
      <c r="K18" s="849">
        <v>1559</v>
      </c>
      <c r="L18" s="849">
        <v>1559</v>
      </c>
      <c r="M18" s="218">
        <v>0</v>
      </c>
      <c r="N18" s="849">
        <v>1559</v>
      </c>
    </row>
    <row r="19" spans="1:16" ht="18.75" customHeight="1" x14ac:dyDescent="0.2">
      <c r="A19" s="218">
        <v>10</v>
      </c>
      <c r="B19" s="225" t="s">
        <v>401</v>
      </c>
      <c r="C19" s="92">
        <v>814</v>
      </c>
      <c r="D19" s="218">
        <v>0</v>
      </c>
      <c r="E19" s="218">
        <v>798</v>
      </c>
      <c r="F19" s="218">
        <v>0</v>
      </c>
      <c r="G19" s="218">
        <v>0</v>
      </c>
      <c r="H19" s="218">
        <f t="shared" si="0"/>
        <v>16</v>
      </c>
      <c r="I19" s="218">
        <v>0</v>
      </c>
      <c r="J19" s="849">
        <v>814</v>
      </c>
      <c r="K19" s="849">
        <v>814</v>
      </c>
      <c r="L19" s="849">
        <v>814</v>
      </c>
      <c r="M19" s="218">
        <v>0</v>
      </c>
      <c r="N19" s="849">
        <v>814</v>
      </c>
    </row>
    <row r="20" spans="1:16" ht="18.75" customHeight="1" x14ac:dyDescent="0.2">
      <c r="A20" s="218">
        <v>11</v>
      </c>
      <c r="B20" s="225" t="s">
        <v>402</v>
      </c>
      <c r="C20" s="92">
        <v>1988</v>
      </c>
      <c r="D20" s="218">
        <v>12</v>
      </c>
      <c r="E20" s="218">
        <v>1988</v>
      </c>
      <c r="F20" s="218">
        <v>27</v>
      </c>
      <c r="G20" s="218">
        <v>0</v>
      </c>
      <c r="H20" s="218">
        <v>0</v>
      </c>
      <c r="I20" s="218">
        <v>0</v>
      </c>
      <c r="J20" s="849">
        <v>1988</v>
      </c>
      <c r="K20" s="849">
        <v>1988</v>
      </c>
      <c r="L20" s="849">
        <v>1988</v>
      </c>
      <c r="M20" s="218">
        <v>0</v>
      </c>
      <c r="N20" s="849">
        <v>1988</v>
      </c>
    </row>
    <row r="21" spans="1:16" ht="18.75" customHeight="1" x14ac:dyDescent="0.2">
      <c r="A21" s="218">
        <v>12</v>
      </c>
      <c r="B21" s="225" t="s">
        <v>403</v>
      </c>
      <c r="C21" s="92">
        <v>1255</v>
      </c>
      <c r="D21" s="270">
        <v>0</v>
      </c>
      <c r="E21" s="218">
        <v>1203</v>
      </c>
      <c r="F21" s="218">
        <v>1214</v>
      </c>
      <c r="G21" s="218">
        <v>0</v>
      </c>
      <c r="H21" s="218">
        <v>0</v>
      </c>
      <c r="I21" s="218">
        <v>0</v>
      </c>
      <c r="J21" s="849">
        <v>1255</v>
      </c>
      <c r="K21" s="849">
        <v>1255</v>
      </c>
      <c r="L21" s="849">
        <v>1255</v>
      </c>
      <c r="M21" s="218">
        <v>0</v>
      </c>
      <c r="N21" s="849">
        <v>1255</v>
      </c>
    </row>
    <row r="22" spans="1:16" ht="18.75" customHeight="1" x14ac:dyDescent="0.2">
      <c r="A22" s="218">
        <v>13</v>
      </c>
      <c r="B22" s="225" t="s">
        <v>404</v>
      </c>
      <c r="C22" s="92">
        <v>1066</v>
      </c>
      <c r="D22" s="270">
        <v>552</v>
      </c>
      <c r="E22" s="218">
        <v>226</v>
      </c>
      <c r="F22" s="218">
        <v>25</v>
      </c>
      <c r="G22" s="218">
        <v>86</v>
      </c>
      <c r="H22" s="218">
        <v>183</v>
      </c>
      <c r="I22" s="218">
        <v>0</v>
      </c>
      <c r="J22" s="849">
        <v>1066</v>
      </c>
      <c r="K22" s="849">
        <v>1066</v>
      </c>
      <c r="L22" s="849">
        <v>1066</v>
      </c>
      <c r="M22" s="218">
        <v>0</v>
      </c>
      <c r="N22" s="849">
        <v>1066</v>
      </c>
    </row>
    <row r="23" spans="1:16" ht="18.75" customHeight="1" x14ac:dyDescent="0.2">
      <c r="A23" s="342"/>
      <c r="B23" s="233" t="s">
        <v>18</v>
      </c>
      <c r="C23" s="194">
        <f t="shared" ref="C23:N23" si="1">SUM(C10:C22)</f>
        <v>17664</v>
      </c>
      <c r="D23" s="194">
        <f t="shared" si="1"/>
        <v>929</v>
      </c>
      <c r="E23" s="194">
        <f t="shared" si="1"/>
        <v>16263</v>
      </c>
      <c r="F23" s="194">
        <f t="shared" si="1"/>
        <v>1964</v>
      </c>
      <c r="G23" s="194">
        <f t="shared" si="1"/>
        <v>96</v>
      </c>
      <c r="H23" s="194">
        <f t="shared" si="1"/>
        <v>571</v>
      </c>
      <c r="I23" s="194">
        <f t="shared" si="1"/>
        <v>0</v>
      </c>
      <c r="J23" s="194">
        <f>SUM(J10:J22)</f>
        <v>17664</v>
      </c>
      <c r="K23" s="194">
        <f t="shared" si="1"/>
        <v>17664</v>
      </c>
      <c r="L23" s="194">
        <f t="shared" si="1"/>
        <v>17664</v>
      </c>
      <c r="M23" s="194">
        <f t="shared" si="1"/>
        <v>635</v>
      </c>
      <c r="N23" s="194">
        <f t="shared" si="1"/>
        <v>17664</v>
      </c>
    </row>
    <row r="24" spans="1:16" ht="15" customHeight="1" x14ac:dyDescent="0.2">
      <c r="A24" s="122" t="s">
        <v>790</v>
      </c>
      <c r="B24" s="343"/>
      <c r="C24" s="292"/>
      <c r="D24" s="343"/>
      <c r="E24" s="344"/>
      <c r="F24" s="344"/>
      <c r="G24" s="344"/>
      <c r="H24" s="344"/>
      <c r="I24" s="344"/>
      <c r="J24" s="344"/>
      <c r="K24" s="292"/>
      <c r="L24" s="292"/>
      <c r="M24" s="344"/>
      <c r="N24" s="344"/>
    </row>
    <row r="25" spans="1:16" ht="15" customHeight="1" x14ac:dyDescent="0.2">
      <c r="A25" s="122"/>
      <c r="B25" s="343"/>
      <c r="C25" s="292"/>
      <c r="D25" s="343"/>
      <c r="E25" s="344"/>
      <c r="F25" s="344"/>
      <c r="G25" s="344"/>
      <c r="H25" s="344"/>
      <c r="I25" s="344"/>
      <c r="J25" s="344"/>
      <c r="K25" s="292"/>
      <c r="L25" s="292"/>
      <c r="M25" s="344"/>
      <c r="N25" s="344"/>
    </row>
    <row r="26" spans="1:16" x14ac:dyDescent="0.2">
      <c r="C26" s="116"/>
      <c r="D26" s="116"/>
    </row>
    <row r="27" spans="1:16" x14ac:dyDescent="0.2">
      <c r="M27" s="1187" t="s">
        <v>12</v>
      </c>
      <c r="N27" s="1187"/>
    </row>
    <row r="28" spans="1:16" x14ac:dyDescent="0.2">
      <c r="M28" s="1187" t="s">
        <v>13</v>
      </c>
      <c r="N28" s="1187"/>
    </row>
    <row r="29" spans="1:16" ht="12.75" customHeight="1" x14ac:dyDescent="0.2">
      <c r="K29" s="1187" t="s">
        <v>88</v>
      </c>
      <c r="L29" s="1187"/>
      <c r="M29" s="1187"/>
      <c r="N29" s="1187"/>
      <c r="O29" s="126"/>
      <c r="P29" s="126"/>
    </row>
    <row r="30" spans="1:16" x14ac:dyDescent="0.2">
      <c r="A30" s="116" t="s">
        <v>11</v>
      </c>
      <c r="N30" s="118" t="s">
        <v>85</v>
      </c>
    </row>
  </sheetData>
  <mergeCells count="14">
    <mergeCell ref="A2:N2"/>
    <mergeCell ref="M27:N27"/>
    <mergeCell ref="M28:N28"/>
    <mergeCell ref="K29:N29"/>
    <mergeCell ref="A5:N5"/>
    <mergeCell ref="A3:N3"/>
    <mergeCell ref="A7:A8"/>
    <mergeCell ref="B7:B8"/>
    <mergeCell ref="C7:C8"/>
    <mergeCell ref="D7:H7"/>
    <mergeCell ref="K7:N7"/>
    <mergeCell ref="I7:I8"/>
    <mergeCell ref="J7:J8"/>
    <mergeCell ref="L6:N6"/>
  </mergeCells>
  <printOptions horizontalCentered="1"/>
  <pageMargins left="0.49" right="0.39" top="0.33" bottom="0.48" header="0.23" footer="0.28999999999999998"/>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pageSetUpPr fitToPage="1"/>
  </sheetPr>
  <dimension ref="A2:IV31"/>
  <sheetViews>
    <sheetView view="pageBreakPreview" topLeftCell="C17" zoomScaleSheetLayoutView="100" workbookViewId="0">
      <selection activeCell="N28" sqref="N28"/>
    </sheetView>
  </sheetViews>
  <sheetFormatPr defaultRowHeight="12.75" x14ac:dyDescent="0.2"/>
  <cols>
    <col min="1" max="1" width="5.42578125" customWidth="1"/>
    <col min="2" max="2" width="19.5703125" customWidth="1"/>
    <col min="3" max="3" width="9.28515625" customWidth="1"/>
    <col min="4" max="4" width="8.28515625" customWidth="1"/>
    <col min="5" max="5" width="7" customWidth="1"/>
    <col min="6" max="6" width="8.7109375" style="11" customWidth="1"/>
    <col min="7" max="7" width="8.42578125" customWidth="1"/>
    <col min="8" max="8" width="7.7109375" customWidth="1"/>
    <col min="9" max="9" width="7" customWidth="1"/>
    <col min="10" max="10" width="8.5703125" style="11" customWidth="1"/>
    <col min="11" max="12" width="7.7109375" customWidth="1"/>
    <col min="13" max="13" width="7" customWidth="1"/>
    <col min="14" max="14" width="7.85546875" style="11" customWidth="1"/>
    <col min="15" max="15" width="8.28515625" customWidth="1"/>
    <col min="16" max="16" width="7.7109375" customWidth="1"/>
    <col min="17" max="17" width="7" customWidth="1"/>
    <col min="18" max="18" width="9.140625" style="11" customWidth="1"/>
    <col min="19" max="19" width="10.5703125" customWidth="1"/>
    <col min="20" max="20" width="9.85546875" customWidth="1"/>
    <col min="21" max="21" width="8.7109375" customWidth="1"/>
    <col min="22" max="22" width="16.140625" style="12" customWidth="1"/>
    <col min="27" max="27" width="11" customWidth="1"/>
    <col min="28" max="29" width="8.85546875" hidden="1" customWidth="1"/>
  </cols>
  <sheetData>
    <row r="2" spans="1:256" x14ac:dyDescent="0.2">
      <c r="G2" s="985"/>
      <c r="H2" s="985"/>
      <c r="I2" s="985"/>
      <c r="J2" s="985"/>
      <c r="K2" s="985"/>
      <c r="L2" s="985"/>
      <c r="M2" s="985"/>
      <c r="N2" s="985"/>
      <c r="O2" s="985"/>
      <c r="P2" s="1"/>
      <c r="Q2" s="1"/>
      <c r="R2" s="1"/>
      <c r="T2" s="988" t="s">
        <v>61</v>
      </c>
      <c r="U2" s="988"/>
    </row>
    <row r="3" spans="1:256" ht="16.5" x14ac:dyDescent="0.2">
      <c r="A3" s="1016" t="s">
        <v>59</v>
      </c>
      <c r="B3" s="1016"/>
      <c r="C3" s="1016"/>
      <c r="D3" s="1016"/>
      <c r="E3" s="1016"/>
      <c r="F3" s="1016"/>
      <c r="G3" s="1016"/>
      <c r="H3" s="1016"/>
      <c r="I3" s="1016"/>
      <c r="J3" s="1016"/>
      <c r="K3" s="1016"/>
      <c r="L3" s="1016"/>
      <c r="M3" s="1016"/>
      <c r="N3" s="1016"/>
      <c r="O3" s="1016"/>
      <c r="P3" s="1016"/>
      <c r="Q3" s="1016"/>
      <c r="R3" s="1016"/>
      <c r="S3" s="1016"/>
      <c r="T3" s="1016"/>
      <c r="U3" s="1016"/>
      <c r="V3" s="1016"/>
    </row>
    <row r="4" spans="1:256" ht="20.25" x14ac:dyDescent="0.3">
      <c r="A4" s="1016" t="s">
        <v>794</v>
      </c>
      <c r="B4" s="1016"/>
      <c r="C4" s="1016"/>
      <c r="D4" s="1016"/>
      <c r="E4" s="1016"/>
      <c r="F4" s="1016"/>
      <c r="G4" s="1016"/>
      <c r="H4" s="1016"/>
      <c r="I4" s="1016"/>
      <c r="J4" s="1016"/>
      <c r="K4" s="1016"/>
      <c r="L4" s="1016"/>
      <c r="M4" s="1016"/>
      <c r="N4" s="1016"/>
      <c r="O4" s="1016"/>
      <c r="P4" s="1016"/>
      <c r="Q4" s="1016"/>
      <c r="R4" s="1016"/>
      <c r="S4" s="1016"/>
      <c r="T4" s="1016"/>
      <c r="U4" s="1016"/>
      <c r="V4" s="1016"/>
      <c r="W4" s="33"/>
      <c r="X4" s="33"/>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8" x14ac:dyDescent="0.2">
      <c r="A5" s="1020" t="s">
        <v>796</v>
      </c>
      <c r="B5" s="1020"/>
      <c r="C5" s="1020"/>
      <c r="D5" s="1020"/>
      <c r="E5" s="1020"/>
      <c r="F5" s="1020"/>
      <c r="G5" s="1020"/>
      <c r="H5" s="1020"/>
      <c r="I5" s="1020"/>
      <c r="J5" s="1020"/>
      <c r="K5" s="1020"/>
      <c r="L5" s="1020"/>
      <c r="M5" s="1020"/>
      <c r="N5" s="1020"/>
      <c r="O5" s="1020"/>
      <c r="P5" s="1020"/>
      <c r="Q5" s="1020"/>
      <c r="R5" s="1020"/>
      <c r="S5" s="1020"/>
      <c r="T5" s="1020"/>
      <c r="U5" s="1020"/>
      <c r="V5" s="1020"/>
    </row>
    <row r="6" spans="1:256" ht="15.75" x14ac:dyDescent="0.25">
      <c r="A6" s="1000" t="s">
        <v>463</v>
      </c>
      <c r="B6" s="1000"/>
      <c r="C6" s="1000"/>
      <c r="D6" s="21"/>
      <c r="E6" s="21"/>
      <c r="F6" s="21"/>
      <c r="G6" s="36"/>
      <c r="H6" s="36"/>
      <c r="I6" s="36"/>
      <c r="J6" s="36"/>
      <c r="K6" s="36"/>
      <c r="L6" s="36"/>
      <c r="M6" s="36"/>
      <c r="N6" s="36"/>
      <c r="O6" s="36"/>
      <c r="P6" s="36"/>
      <c r="Q6" s="36"/>
      <c r="R6" s="36"/>
      <c r="S6" s="36"/>
      <c r="T6" s="36"/>
      <c r="U6" s="36"/>
    </row>
    <row r="7" spans="1:256" ht="15.75" thickBot="1" x14ac:dyDescent="0.3">
      <c r="U7" s="999" t="s">
        <v>277</v>
      </c>
      <c r="V7" s="999"/>
      <c r="W7" s="12"/>
      <c r="X7" s="12"/>
      <c r="Y7" s="12"/>
      <c r="Z7" s="12"/>
      <c r="AA7" s="998"/>
      <c r="AB7" s="998"/>
      <c r="AC7" s="998"/>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ht="32.25" customHeight="1" thickBot="1" x14ac:dyDescent="0.25">
      <c r="A8" s="1012" t="s">
        <v>2</v>
      </c>
      <c r="B8" s="1012" t="s">
        <v>116</v>
      </c>
      <c r="C8" s="1001" t="s">
        <v>170</v>
      </c>
      <c r="D8" s="1002"/>
      <c r="E8" s="1002"/>
      <c r="F8" s="1003"/>
      <c r="G8" s="1001" t="s">
        <v>908</v>
      </c>
      <c r="H8" s="1002"/>
      <c r="I8" s="1002"/>
      <c r="J8" s="1002"/>
      <c r="K8" s="1002"/>
      <c r="L8" s="1002"/>
      <c r="M8" s="1002"/>
      <c r="N8" s="1002"/>
      <c r="O8" s="1002"/>
      <c r="P8" s="1002"/>
      <c r="Q8" s="1002"/>
      <c r="R8" s="1003"/>
      <c r="S8" s="1004" t="s">
        <v>278</v>
      </c>
      <c r="T8" s="1005"/>
      <c r="U8" s="1005"/>
      <c r="V8" s="1006"/>
      <c r="W8" s="79"/>
      <c r="X8" s="79"/>
      <c r="Y8" s="79"/>
      <c r="Z8" s="79"/>
      <c r="AA8" s="79"/>
      <c r="AB8" s="79"/>
      <c r="AC8" s="79"/>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32.25" customHeight="1" thickBot="1" x14ac:dyDescent="0.25">
      <c r="A9" s="1013"/>
      <c r="B9" s="1013"/>
      <c r="C9" s="1021"/>
      <c r="D9" s="1022"/>
      <c r="E9" s="1022"/>
      <c r="F9" s="1023"/>
      <c r="G9" s="1017" t="s">
        <v>190</v>
      </c>
      <c r="H9" s="1018"/>
      <c r="I9" s="1018"/>
      <c r="J9" s="1019"/>
      <c r="K9" s="1001" t="s">
        <v>191</v>
      </c>
      <c r="L9" s="1002"/>
      <c r="M9" s="1002"/>
      <c r="N9" s="1019"/>
      <c r="O9" s="1017" t="s">
        <v>18</v>
      </c>
      <c r="P9" s="1018"/>
      <c r="Q9" s="1018"/>
      <c r="R9" s="1019"/>
      <c r="S9" s="1007"/>
      <c r="T9" s="1008"/>
      <c r="U9" s="1008"/>
      <c r="V9" s="1009"/>
      <c r="W9" s="79"/>
      <c r="X9" s="79"/>
      <c r="Y9" s="79"/>
      <c r="Z9" s="79"/>
      <c r="AA9" s="79"/>
      <c r="AB9" s="79"/>
      <c r="AC9" s="79"/>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42" customHeight="1" thickBot="1" x14ac:dyDescent="0.25">
      <c r="A10" s="1015"/>
      <c r="B10" s="1014"/>
      <c r="C10" s="414" t="s">
        <v>279</v>
      </c>
      <c r="D10" s="415" t="s">
        <v>280</v>
      </c>
      <c r="E10" s="416" t="s">
        <v>281</v>
      </c>
      <c r="F10" s="291" t="s">
        <v>18</v>
      </c>
      <c r="G10" s="417" t="s">
        <v>279</v>
      </c>
      <c r="H10" s="418" t="s">
        <v>280</v>
      </c>
      <c r="I10" s="419" t="s">
        <v>281</v>
      </c>
      <c r="J10" s="291" t="s">
        <v>18</v>
      </c>
      <c r="K10" s="414" t="s">
        <v>279</v>
      </c>
      <c r="L10" s="415" t="s">
        <v>280</v>
      </c>
      <c r="M10" s="416" t="s">
        <v>281</v>
      </c>
      <c r="N10" s="347" t="s">
        <v>18</v>
      </c>
      <c r="O10" s="427" t="s">
        <v>279</v>
      </c>
      <c r="P10" s="418" t="s">
        <v>280</v>
      </c>
      <c r="Q10" s="419" t="s">
        <v>281</v>
      </c>
      <c r="R10" s="346" t="s">
        <v>18</v>
      </c>
      <c r="S10" s="456" t="s">
        <v>495</v>
      </c>
      <c r="T10" s="457" t="s">
        <v>496</v>
      </c>
      <c r="U10" s="458" t="s">
        <v>497</v>
      </c>
      <c r="V10" s="429" t="s">
        <v>498</v>
      </c>
      <c r="W10" s="79"/>
      <c r="X10" s="79"/>
      <c r="Y10" s="79"/>
      <c r="Z10" s="79"/>
      <c r="AA10" s="79"/>
      <c r="AB10" s="79"/>
      <c r="AC10" s="79"/>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32.25" customHeight="1" x14ac:dyDescent="0.2">
      <c r="A11" s="208">
        <v>1</v>
      </c>
      <c r="B11" s="403">
        <v>2</v>
      </c>
      <c r="C11" s="209">
        <v>3</v>
      </c>
      <c r="D11" s="210">
        <v>4</v>
      </c>
      <c r="E11" s="211">
        <v>5</v>
      </c>
      <c r="F11" s="421">
        <v>6</v>
      </c>
      <c r="G11" s="411">
        <v>7</v>
      </c>
      <c r="H11" s="420">
        <v>8</v>
      </c>
      <c r="I11" s="412">
        <v>9</v>
      </c>
      <c r="J11" s="424">
        <v>10</v>
      </c>
      <c r="K11" s="209">
        <v>11</v>
      </c>
      <c r="L11" s="212">
        <v>12</v>
      </c>
      <c r="M11" s="213">
        <v>13</v>
      </c>
      <c r="N11" s="296">
        <v>14</v>
      </c>
      <c r="O11" s="411">
        <v>15</v>
      </c>
      <c r="P11" s="420">
        <v>16</v>
      </c>
      <c r="Q11" s="412">
        <v>17</v>
      </c>
      <c r="R11" s="422">
        <v>18</v>
      </c>
      <c r="S11" s="209">
        <v>19</v>
      </c>
      <c r="T11" s="212">
        <v>20</v>
      </c>
      <c r="U11" s="213">
        <v>21</v>
      </c>
      <c r="V11" s="325">
        <v>22</v>
      </c>
      <c r="W11" s="99"/>
      <c r="X11" s="99"/>
      <c r="Y11" s="99"/>
      <c r="Z11" s="99"/>
      <c r="AA11" s="99"/>
      <c r="AB11" s="99"/>
      <c r="AC11" s="99"/>
      <c r="AD11" s="99"/>
      <c r="AE11" s="99"/>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row>
    <row r="12" spans="1:256" ht="32.25" customHeight="1" x14ac:dyDescent="0.2">
      <c r="A12" s="214"/>
      <c r="B12" s="404" t="s">
        <v>261</v>
      </c>
      <c r="C12" s="215"/>
      <c r="D12" s="92"/>
      <c r="E12" s="216"/>
      <c r="F12" s="324"/>
      <c r="G12" s="217"/>
      <c r="H12" s="218"/>
      <c r="I12" s="219"/>
      <c r="J12" s="220"/>
      <c r="K12" s="217"/>
      <c r="L12" s="218"/>
      <c r="M12" s="219"/>
      <c r="N12" s="315"/>
      <c r="O12" s="217"/>
      <c r="P12" s="218"/>
      <c r="Q12" s="219"/>
      <c r="R12" s="324"/>
      <c r="S12" s="217"/>
      <c r="T12" s="218"/>
      <c r="U12" s="219"/>
      <c r="V12" s="326"/>
      <c r="W12" s="80"/>
      <c r="X12" s="80"/>
      <c r="Y12" s="80"/>
      <c r="Z12" s="80"/>
      <c r="AA12" s="80"/>
      <c r="AB12" s="80"/>
      <c r="AC12" s="80"/>
      <c r="AD12" s="80"/>
      <c r="AE12" s="80"/>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ht="32.25" customHeight="1" x14ac:dyDescent="0.2">
      <c r="A13" s="220">
        <v>1</v>
      </c>
      <c r="B13" s="404" t="s">
        <v>198</v>
      </c>
      <c r="C13" s="221">
        <v>441.38</v>
      </c>
      <c r="D13" s="203">
        <v>108.91</v>
      </c>
      <c r="E13" s="222">
        <v>22.93</v>
      </c>
      <c r="F13" s="327">
        <f t="shared" ref="F13:F20" si="0">C13+D13+E13</f>
        <v>573.21999999999991</v>
      </c>
      <c r="G13" s="221">
        <v>396.35</v>
      </c>
      <c r="H13" s="203">
        <v>132.47999999999999</v>
      </c>
      <c r="I13" s="222">
        <v>16.809999999999999</v>
      </c>
      <c r="J13" s="327">
        <f t="shared" ref="J13:J20" si="1">G13+H13+I13</f>
        <v>545.64</v>
      </c>
      <c r="K13" s="221">
        <v>0</v>
      </c>
      <c r="L13" s="203">
        <v>0</v>
      </c>
      <c r="M13" s="222">
        <v>0</v>
      </c>
      <c r="N13" s="327">
        <f t="shared" ref="N13:N20" si="2">K13+L13+M13</f>
        <v>0</v>
      </c>
      <c r="O13" s="221">
        <f>G13+K13</f>
        <v>396.35</v>
      </c>
      <c r="P13" s="203">
        <f>H13+L13</f>
        <v>132.47999999999999</v>
      </c>
      <c r="Q13" s="222">
        <f>I13+M13</f>
        <v>16.809999999999999</v>
      </c>
      <c r="R13" s="327">
        <f t="shared" ref="R13:R20" si="3">O13+P13+Q13</f>
        <v>545.64</v>
      </c>
      <c r="S13" s="221">
        <f>C13-O13</f>
        <v>45.029999999999973</v>
      </c>
      <c r="T13" s="203">
        <f>D13-P13</f>
        <v>-23.569999999999993</v>
      </c>
      <c r="U13" s="222">
        <f>E13-Q13</f>
        <v>6.120000000000001</v>
      </c>
      <c r="V13" s="223">
        <f>S13+T13+U13</f>
        <v>27.579999999999981</v>
      </c>
      <c r="W13" s="80"/>
      <c r="X13" s="80"/>
      <c r="Y13" s="80"/>
      <c r="Z13" s="80"/>
      <c r="AA13" s="80"/>
      <c r="AB13" s="80"/>
      <c r="AC13" s="80"/>
      <c r="AD13" s="80"/>
      <c r="AE13" s="80"/>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ht="32.25" customHeight="1" x14ac:dyDescent="0.2">
      <c r="A14" s="220">
        <v>2</v>
      </c>
      <c r="B14" s="405" t="s">
        <v>139</v>
      </c>
      <c r="C14" s="221">
        <v>7154.51</v>
      </c>
      <c r="D14" s="203">
        <v>1635.77</v>
      </c>
      <c r="E14" s="222">
        <v>254.55</v>
      </c>
      <c r="F14" s="327">
        <f t="shared" si="0"/>
        <v>9044.83</v>
      </c>
      <c r="G14" s="221">
        <v>4548.6000000000004</v>
      </c>
      <c r="H14" s="203">
        <v>1520.38</v>
      </c>
      <c r="I14" s="222">
        <v>192.86</v>
      </c>
      <c r="J14" s="327">
        <f t="shared" si="1"/>
        <v>6261.84</v>
      </c>
      <c r="K14" s="221">
        <v>1459.19</v>
      </c>
      <c r="L14" s="203">
        <v>487.74</v>
      </c>
      <c r="M14" s="222">
        <v>61.87</v>
      </c>
      <c r="N14" s="327">
        <f t="shared" si="2"/>
        <v>2008.8</v>
      </c>
      <c r="O14" s="221">
        <f t="shared" ref="O14:O20" si="4">G14+K14</f>
        <v>6007.7900000000009</v>
      </c>
      <c r="P14" s="203">
        <f t="shared" ref="P14:P20" si="5">H14+L14</f>
        <v>2008.1200000000001</v>
      </c>
      <c r="Q14" s="222">
        <f t="shared" ref="Q14:Q20" si="6">I14+M14</f>
        <v>254.73000000000002</v>
      </c>
      <c r="R14" s="327">
        <f t="shared" si="3"/>
        <v>8270.6400000000012</v>
      </c>
      <c r="S14" s="221">
        <f t="shared" ref="S14:S20" si="7">C14-O14</f>
        <v>1146.7199999999993</v>
      </c>
      <c r="T14" s="203">
        <f t="shared" ref="T14:T20" si="8">D14-P14</f>
        <v>-372.35000000000014</v>
      </c>
      <c r="U14" s="222">
        <f t="shared" ref="U14:U20" si="9">E14-Q14</f>
        <v>-0.18000000000000682</v>
      </c>
      <c r="V14" s="223">
        <f t="shared" ref="V14:V20" si="10">S14+T14+U14</f>
        <v>774.18999999999915</v>
      </c>
      <c r="X14" s="1000"/>
      <c r="Y14" s="1000"/>
      <c r="Z14" s="1000"/>
      <c r="AA14" s="1000"/>
    </row>
    <row r="15" spans="1:256" ht="32.25" customHeight="1" x14ac:dyDescent="0.2">
      <c r="A15" s="220">
        <v>3</v>
      </c>
      <c r="B15" s="404" t="s">
        <v>140</v>
      </c>
      <c r="C15" s="221">
        <v>208.71</v>
      </c>
      <c r="D15" s="203">
        <v>51.5</v>
      </c>
      <c r="E15" s="222">
        <v>10.84</v>
      </c>
      <c r="F15" s="327">
        <f t="shared" si="0"/>
        <v>271.05</v>
      </c>
      <c r="G15" s="221">
        <v>307.64999999999998</v>
      </c>
      <c r="H15" s="203">
        <v>102.84</v>
      </c>
      <c r="I15" s="222">
        <v>13.04</v>
      </c>
      <c r="J15" s="327">
        <f t="shared" si="1"/>
        <v>423.53000000000003</v>
      </c>
      <c r="K15" s="221">
        <v>0</v>
      </c>
      <c r="L15" s="203">
        <v>0</v>
      </c>
      <c r="M15" s="222">
        <v>0</v>
      </c>
      <c r="N15" s="327">
        <f t="shared" si="2"/>
        <v>0</v>
      </c>
      <c r="O15" s="221">
        <f t="shared" si="4"/>
        <v>307.64999999999998</v>
      </c>
      <c r="P15" s="203">
        <f t="shared" si="5"/>
        <v>102.84</v>
      </c>
      <c r="Q15" s="222">
        <f t="shared" si="6"/>
        <v>13.04</v>
      </c>
      <c r="R15" s="327">
        <f t="shared" si="3"/>
        <v>423.53000000000003</v>
      </c>
      <c r="S15" s="221">
        <f t="shared" si="7"/>
        <v>-98.939999999999969</v>
      </c>
      <c r="T15" s="203">
        <f t="shared" si="8"/>
        <v>-51.34</v>
      </c>
      <c r="U15" s="222">
        <f t="shared" si="9"/>
        <v>-2.1999999999999993</v>
      </c>
      <c r="V15" s="223">
        <f t="shared" si="10"/>
        <v>-152.47999999999996</v>
      </c>
    </row>
    <row r="16" spans="1:256" ht="32.25" customHeight="1" x14ac:dyDescent="0.2">
      <c r="A16" s="220">
        <v>4</v>
      </c>
      <c r="B16" s="405" t="s">
        <v>141</v>
      </c>
      <c r="C16" s="221">
        <v>143.47999999999999</v>
      </c>
      <c r="D16" s="203">
        <v>35.4</v>
      </c>
      <c r="E16" s="222">
        <v>7.45</v>
      </c>
      <c r="F16" s="327">
        <f t="shared" si="0"/>
        <v>186.32999999999998</v>
      </c>
      <c r="G16" s="221">
        <v>140.09</v>
      </c>
      <c r="H16" s="203">
        <v>46.82</v>
      </c>
      <c r="I16" s="222">
        <v>5.94</v>
      </c>
      <c r="J16" s="327">
        <f t="shared" si="1"/>
        <v>192.85</v>
      </c>
      <c r="K16" s="221">
        <v>0</v>
      </c>
      <c r="L16" s="203">
        <v>0</v>
      </c>
      <c r="M16" s="222">
        <v>0</v>
      </c>
      <c r="N16" s="327">
        <f t="shared" si="2"/>
        <v>0</v>
      </c>
      <c r="O16" s="221">
        <f t="shared" si="4"/>
        <v>140.09</v>
      </c>
      <c r="P16" s="203">
        <f t="shared" si="5"/>
        <v>46.82</v>
      </c>
      <c r="Q16" s="222">
        <f t="shared" si="6"/>
        <v>5.94</v>
      </c>
      <c r="R16" s="327">
        <f t="shared" si="3"/>
        <v>192.85</v>
      </c>
      <c r="S16" s="221">
        <f t="shared" si="7"/>
        <v>3.3899999999999864</v>
      </c>
      <c r="T16" s="203">
        <f t="shared" si="8"/>
        <v>-11.420000000000002</v>
      </c>
      <c r="U16" s="222">
        <f t="shared" si="9"/>
        <v>1.5099999999999998</v>
      </c>
      <c r="V16" s="223">
        <f t="shared" si="10"/>
        <v>-6.5200000000000156</v>
      </c>
    </row>
    <row r="17" spans="1:36" ht="32.25" customHeight="1" x14ac:dyDescent="0.2">
      <c r="A17" s="220">
        <v>5</v>
      </c>
      <c r="B17" s="404" t="s">
        <v>142</v>
      </c>
      <c r="C17" s="221">
        <v>4418.22</v>
      </c>
      <c r="D17" s="203">
        <v>958.06</v>
      </c>
      <c r="E17" s="222">
        <v>170.78</v>
      </c>
      <c r="F17" s="327">
        <f t="shared" si="0"/>
        <v>5547.06</v>
      </c>
      <c r="G17" s="221">
        <v>1852.37</v>
      </c>
      <c r="H17" s="203">
        <v>619.15</v>
      </c>
      <c r="I17" s="222">
        <v>78.540000000000006</v>
      </c>
      <c r="J17" s="327">
        <f t="shared" si="1"/>
        <v>2550.06</v>
      </c>
      <c r="K17" s="221">
        <v>2323.91</v>
      </c>
      <c r="L17" s="203">
        <v>776.77</v>
      </c>
      <c r="M17" s="222">
        <v>98.54</v>
      </c>
      <c r="N17" s="327">
        <f t="shared" si="2"/>
        <v>3199.22</v>
      </c>
      <c r="O17" s="221">
        <f t="shared" si="4"/>
        <v>4176.28</v>
      </c>
      <c r="P17" s="203">
        <f t="shared" si="5"/>
        <v>1395.92</v>
      </c>
      <c r="Q17" s="222">
        <f t="shared" si="6"/>
        <v>177.08</v>
      </c>
      <c r="R17" s="327">
        <f t="shared" si="3"/>
        <v>5749.28</v>
      </c>
      <c r="S17" s="221">
        <f t="shared" si="7"/>
        <v>241.94000000000051</v>
      </c>
      <c r="T17" s="203">
        <f t="shared" si="8"/>
        <v>-437.86000000000013</v>
      </c>
      <c r="U17" s="222">
        <f t="shared" si="9"/>
        <v>-6.3000000000000114</v>
      </c>
      <c r="V17" s="223">
        <f t="shared" si="10"/>
        <v>-202.21999999999963</v>
      </c>
    </row>
    <row r="18" spans="1:36" s="869" customFormat="1" ht="38.25" x14ac:dyDescent="0.2">
      <c r="A18" s="280">
        <v>6</v>
      </c>
      <c r="B18" s="870" t="s">
        <v>992</v>
      </c>
      <c r="C18" s="221">
        <v>412.37</v>
      </c>
      <c r="D18" s="203">
        <v>101.82</v>
      </c>
      <c r="E18" s="888">
        <v>21.43</v>
      </c>
      <c r="F18" s="327">
        <f>C18+D18+E18</f>
        <v>535.62</v>
      </c>
      <c r="G18" s="221">
        <v>0</v>
      </c>
      <c r="H18" s="203">
        <v>0</v>
      </c>
      <c r="I18" s="203">
        <v>0</v>
      </c>
      <c r="J18" s="327">
        <f t="shared" si="1"/>
        <v>0</v>
      </c>
      <c r="K18" s="221">
        <v>399.52</v>
      </c>
      <c r="L18" s="203">
        <v>133.54</v>
      </c>
      <c r="M18" s="222">
        <v>16.940000000000001</v>
      </c>
      <c r="N18" s="327">
        <f t="shared" si="2"/>
        <v>550</v>
      </c>
      <c r="O18" s="221">
        <f t="shared" si="4"/>
        <v>399.52</v>
      </c>
      <c r="P18" s="203">
        <f t="shared" si="5"/>
        <v>133.54</v>
      </c>
      <c r="Q18" s="222">
        <f t="shared" si="6"/>
        <v>16.940000000000001</v>
      </c>
      <c r="R18" s="327">
        <f t="shared" si="3"/>
        <v>550</v>
      </c>
      <c r="S18" s="221">
        <f t="shared" si="7"/>
        <v>12.850000000000023</v>
      </c>
      <c r="T18" s="203">
        <f t="shared" si="8"/>
        <v>-31.72</v>
      </c>
      <c r="U18" s="222">
        <f t="shared" si="9"/>
        <v>4.4899999999999984</v>
      </c>
      <c r="V18" s="223">
        <f t="shared" si="10"/>
        <v>-14.379999999999978</v>
      </c>
    </row>
    <row r="19" spans="1:36" s="869" customFormat="1" ht="38.25" x14ac:dyDescent="0.2">
      <c r="A19" s="280">
        <v>7</v>
      </c>
      <c r="B19" s="870" t="s">
        <v>991</v>
      </c>
      <c r="C19" s="221">
        <v>206.31</v>
      </c>
      <c r="D19" s="203">
        <v>50.91</v>
      </c>
      <c r="E19" s="222">
        <v>10.72</v>
      </c>
      <c r="F19" s="327">
        <f t="shared" si="0"/>
        <v>267.94000000000005</v>
      </c>
      <c r="G19" s="221">
        <v>0</v>
      </c>
      <c r="H19" s="203">
        <v>0</v>
      </c>
      <c r="I19" s="203">
        <v>0</v>
      </c>
      <c r="J19" s="327">
        <f t="shared" si="1"/>
        <v>0</v>
      </c>
      <c r="K19" s="221">
        <v>183.22</v>
      </c>
      <c r="L19" s="203">
        <v>61.24</v>
      </c>
      <c r="M19" s="222">
        <v>7.77</v>
      </c>
      <c r="N19" s="327">
        <f t="shared" si="2"/>
        <v>252.23000000000002</v>
      </c>
      <c r="O19" s="221">
        <f t="shared" si="4"/>
        <v>183.22</v>
      </c>
      <c r="P19" s="203">
        <f t="shared" si="5"/>
        <v>61.24</v>
      </c>
      <c r="Q19" s="222">
        <f t="shared" si="6"/>
        <v>7.77</v>
      </c>
      <c r="R19" s="327">
        <f t="shared" si="3"/>
        <v>252.23000000000002</v>
      </c>
      <c r="S19" s="221">
        <f t="shared" si="7"/>
        <v>23.090000000000003</v>
      </c>
      <c r="T19" s="203">
        <f>D19-P19</f>
        <v>-10.330000000000005</v>
      </c>
      <c r="U19" s="222">
        <f t="shared" si="9"/>
        <v>2.9500000000000011</v>
      </c>
      <c r="V19" s="223">
        <f t="shared" si="10"/>
        <v>15.709999999999999</v>
      </c>
    </row>
    <row r="20" spans="1:36" ht="32.25" customHeight="1" x14ac:dyDescent="0.2">
      <c r="A20" s="220">
        <v>8</v>
      </c>
      <c r="B20" s="404" t="s">
        <v>391</v>
      </c>
      <c r="C20" s="221">
        <v>25.02</v>
      </c>
      <c r="D20" s="203">
        <v>6.17</v>
      </c>
      <c r="E20" s="222">
        <v>1.3</v>
      </c>
      <c r="F20" s="327">
        <f t="shared" si="0"/>
        <v>32.489999999999995</v>
      </c>
      <c r="G20" s="221">
        <v>0</v>
      </c>
      <c r="H20" s="203">
        <v>0</v>
      </c>
      <c r="I20" s="222">
        <v>0</v>
      </c>
      <c r="J20" s="327">
        <f t="shared" si="1"/>
        <v>0</v>
      </c>
      <c r="K20" s="221">
        <v>0</v>
      </c>
      <c r="L20" s="203">
        <v>0</v>
      </c>
      <c r="M20" s="222">
        <v>0</v>
      </c>
      <c r="N20" s="327">
        <f t="shared" si="2"/>
        <v>0</v>
      </c>
      <c r="O20" s="221">
        <f t="shared" si="4"/>
        <v>0</v>
      </c>
      <c r="P20" s="203">
        <f t="shared" si="5"/>
        <v>0</v>
      </c>
      <c r="Q20" s="222">
        <f t="shared" si="6"/>
        <v>0</v>
      </c>
      <c r="R20" s="327">
        <f t="shared" si="3"/>
        <v>0</v>
      </c>
      <c r="S20" s="889">
        <f t="shared" si="7"/>
        <v>25.02</v>
      </c>
      <c r="T20" s="203">
        <f t="shared" si="8"/>
        <v>6.17</v>
      </c>
      <c r="U20" s="890">
        <f t="shared" si="9"/>
        <v>1.3</v>
      </c>
      <c r="V20" s="223">
        <f t="shared" si="10"/>
        <v>32.489999999999995</v>
      </c>
    </row>
    <row r="21" spans="1:36" s="11" customFormat="1" ht="32.25" customHeight="1" x14ac:dyDescent="0.2">
      <c r="A21" s="220"/>
      <c r="B21" s="404" t="s">
        <v>18</v>
      </c>
      <c r="C21" s="319">
        <f>SUM(C13:C20)</f>
        <v>13010</v>
      </c>
      <c r="D21" s="204">
        <f t="shared" ref="D21:V21" si="11">SUM(D13:D20)</f>
        <v>2948.5400000000004</v>
      </c>
      <c r="E21" s="413">
        <f t="shared" si="11"/>
        <v>500</v>
      </c>
      <c r="F21" s="321">
        <f t="shared" si="11"/>
        <v>16458.54</v>
      </c>
      <c r="G21" s="319">
        <f>SUM(G13:G20)</f>
        <v>7245.06</v>
      </c>
      <c r="H21" s="204">
        <f t="shared" si="11"/>
        <v>2421.67</v>
      </c>
      <c r="I21" s="413">
        <f t="shared" si="11"/>
        <v>307.19</v>
      </c>
      <c r="J21" s="423">
        <f t="shared" si="11"/>
        <v>9973.92</v>
      </c>
      <c r="K21" s="319">
        <f t="shared" si="11"/>
        <v>4365.84</v>
      </c>
      <c r="L21" s="204">
        <f t="shared" si="11"/>
        <v>1459.29</v>
      </c>
      <c r="M21" s="413">
        <f t="shared" si="11"/>
        <v>185.12</v>
      </c>
      <c r="N21" s="320">
        <f t="shared" si="11"/>
        <v>6010.25</v>
      </c>
      <c r="O21" s="319">
        <f t="shared" si="11"/>
        <v>11610.9</v>
      </c>
      <c r="P21" s="204">
        <f t="shared" si="11"/>
        <v>3880.96</v>
      </c>
      <c r="Q21" s="413">
        <f t="shared" si="11"/>
        <v>492.31</v>
      </c>
      <c r="R21" s="321">
        <f t="shared" si="11"/>
        <v>15984.170000000002</v>
      </c>
      <c r="S21" s="423">
        <f t="shared" si="11"/>
        <v>1399.0999999999997</v>
      </c>
      <c r="T21" s="204">
        <f t="shared" si="11"/>
        <v>-932.4200000000003</v>
      </c>
      <c r="U21" s="410">
        <f t="shared" si="11"/>
        <v>7.6899999999999826</v>
      </c>
      <c r="V21" s="321">
        <f t="shared" si="11"/>
        <v>474.36999999999944</v>
      </c>
    </row>
    <row r="22" spans="1:36" ht="32.25" customHeight="1" x14ac:dyDescent="0.2">
      <c r="A22" s="220"/>
      <c r="B22" s="406" t="s">
        <v>262</v>
      </c>
      <c r="C22" s="221"/>
      <c r="D22" s="203"/>
      <c r="E22" s="222"/>
      <c r="F22" s="321"/>
      <c r="G22" s="221"/>
      <c r="H22" s="203"/>
      <c r="I22" s="222"/>
      <c r="J22" s="423"/>
      <c r="K22" s="221"/>
      <c r="L22" s="203"/>
      <c r="M22" s="222"/>
      <c r="N22" s="320"/>
      <c r="O22" s="221"/>
      <c r="P22" s="203"/>
      <c r="Q22" s="222"/>
      <c r="R22" s="321"/>
      <c r="S22" s="221"/>
      <c r="T22" s="203"/>
      <c r="U22" s="222"/>
      <c r="V22" s="223"/>
    </row>
    <row r="23" spans="1:36" ht="32.25" customHeight="1" x14ac:dyDescent="0.2">
      <c r="A23" s="220">
        <v>7</v>
      </c>
      <c r="B23" s="403" t="s">
        <v>200</v>
      </c>
      <c r="C23" s="221">
        <v>0</v>
      </c>
      <c r="D23" s="203">
        <v>0</v>
      </c>
      <c r="E23" s="222">
        <v>0</v>
      </c>
      <c r="F23" s="327">
        <f>C23+D23+E23</f>
        <v>0</v>
      </c>
      <c r="G23" s="221">
        <v>0</v>
      </c>
      <c r="H23" s="203">
        <v>0</v>
      </c>
      <c r="I23" s="222">
        <v>0</v>
      </c>
      <c r="J23" s="425">
        <f>G23+H23+I23</f>
        <v>0</v>
      </c>
      <c r="K23" s="221">
        <v>0</v>
      </c>
      <c r="L23" s="203">
        <v>0</v>
      </c>
      <c r="M23" s="222">
        <v>0</v>
      </c>
      <c r="N23" s="323">
        <f>K23+L23+M23</f>
        <v>0</v>
      </c>
      <c r="O23" s="221">
        <f t="shared" ref="O23:O24" si="12">G23+K23</f>
        <v>0</v>
      </c>
      <c r="P23" s="203">
        <f t="shared" ref="P23:P24" si="13">H23+L23</f>
        <v>0</v>
      </c>
      <c r="Q23" s="222">
        <f t="shared" ref="Q23:Q24" si="14">I23+M23</f>
        <v>0</v>
      </c>
      <c r="R23" s="321">
        <f>O23+P23+Q23</f>
        <v>0</v>
      </c>
      <c r="S23" s="221">
        <f>C23-O23</f>
        <v>0</v>
      </c>
      <c r="T23" s="203">
        <f>D23-P23</f>
        <v>0</v>
      </c>
      <c r="U23" s="222">
        <f t="shared" ref="U23:U24" si="15">E23-Q23</f>
        <v>0</v>
      </c>
      <c r="V23" s="223">
        <f t="shared" ref="V23:V24" si="16">S23+T23+U23</f>
        <v>0</v>
      </c>
    </row>
    <row r="24" spans="1:36" ht="32.25" customHeight="1" x14ac:dyDescent="0.2">
      <c r="A24" s="328">
        <v>8</v>
      </c>
      <c r="B24" s="407" t="s">
        <v>144</v>
      </c>
      <c r="C24" s="221">
        <v>0</v>
      </c>
      <c r="D24" s="203">
        <v>0</v>
      </c>
      <c r="E24" s="222">
        <v>0</v>
      </c>
      <c r="F24" s="327">
        <f>C24+D24+E24</f>
        <v>0</v>
      </c>
      <c r="G24" s="221">
        <v>0</v>
      </c>
      <c r="H24" s="203">
        <v>0</v>
      </c>
      <c r="I24" s="222">
        <v>0</v>
      </c>
      <c r="J24" s="425">
        <f>G24+H24+I24</f>
        <v>0</v>
      </c>
      <c r="K24" s="221">
        <v>0</v>
      </c>
      <c r="L24" s="203">
        <v>0</v>
      </c>
      <c r="M24" s="222">
        <v>0</v>
      </c>
      <c r="N24" s="323">
        <f>K24+L24+M24</f>
        <v>0</v>
      </c>
      <c r="O24" s="221">
        <f t="shared" si="12"/>
        <v>0</v>
      </c>
      <c r="P24" s="203">
        <f t="shared" si="13"/>
        <v>0</v>
      </c>
      <c r="Q24" s="222">
        <f t="shared" si="14"/>
        <v>0</v>
      </c>
      <c r="R24" s="321">
        <f>O24+P24+Q24</f>
        <v>0</v>
      </c>
      <c r="S24" s="221">
        <f>C24-O24</f>
        <v>0</v>
      </c>
      <c r="T24" s="329">
        <f>D24-P24</f>
        <v>0</v>
      </c>
      <c r="U24" s="330">
        <f t="shared" si="15"/>
        <v>0</v>
      </c>
      <c r="V24" s="223">
        <f t="shared" si="16"/>
        <v>0</v>
      </c>
    </row>
    <row r="25" spans="1:36" s="332" customFormat="1" ht="32.25" customHeight="1" x14ac:dyDescent="0.2">
      <c r="A25" s="239"/>
      <c r="B25" s="408" t="s">
        <v>18</v>
      </c>
      <c r="C25" s="319">
        <f>SUM(C23:C24)</f>
        <v>0</v>
      </c>
      <c r="D25" s="204">
        <f t="shared" ref="D25:V25" si="17">SUM(D23:D24)</f>
        <v>0</v>
      </c>
      <c r="E25" s="413">
        <f t="shared" si="17"/>
        <v>0</v>
      </c>
      <c r="F25" s="331">
        <f t="shared" si="17"/>
        <v>0</v>
      </c>
      <c r="G25" s="319">
        <f t="shared" si="17"/>
        <v>0</v>
      </c>
      <c r="H25" s="204">
        <f>SUM(H23:H24)</f>
        <v>0</v>
      </c>
      <c r="I25" s="413">
        <f t="shared" si="17"/>
        <v>0</v>
      </c>
      <c r="J25" s="426">
        <f t="shared" si="17"/>
        <v>0</v>
      </c>
      <c r="K25" s="319">
        <f t="shared" si="17"/>
        <v>0</v>
      </c>
      <c r="L25" s="204">
        <f t="shared" si="17"/>
        <v>0</v>
      </c>
      <c r="M25" s="413">
        <f t="shared" si="17"/>
        <v>0</v>
      </c>
      <c r="N25" s="320">
        <f t="shared" si="17"/>
        <v>0</v>
      </c>
      <c r="O25" s="319">
        <f t="shared" si="17"/>
        <v>0</v>
      </c>
      <c r="P25" s="204">
        <f t="shared" si="17"/>
        <v>0</v>
      </c>
      <c r="Q25" s="413">
        <f t="shared" si="17"/>
        <v>0</v>
      </c>
      <c r="R25" s="321">
        <f t="shared" si="17"/>
        <v>0</v>
      </c>
      <c r="S25" s="319">
        <f t="shared" si="17"/>
        <v>0</v>
      </c>
      <c r="T25" s="322">
        <f t="shared" si="17"/>
        <v>0</v>
      </c>
      <c r="U25" s="410">
        <f t="shared" si="17"/>
        <v>0</v>
      </c>
      <c r="V25" s="321">
        <f t="shared" si="17"/>
        <v>0</v>
      </c>
    </row>
    <row r="26" spans="1:36" s="11" customFormat="1" ht="32.25" customHeight="1" thickBot="1" x14ac:dyDescent="0.25">
      <c r="A26" s="239"/>
      <c r="B26" s="409" t="s">
        <v>37</v>
      </c>
      <c r="C26" s="459">
        <f>C21+C25</f>
        <v>13010</v>
      </c>
      <c r="D26" s="460">
        <f t="shared" ref="D26:V26" si="18">D21+D25</f>
        <v>2948.5400000000004</v>
      </c>
      <c r="E26" s="461">
        <f>E21+E25</f>
        <v>500</v>
      </c>
      <c r="F26" s="428">
        <f t="shared" si="18"/>
        <v>16458.54</v>
      </c>
      <c r="G26" s="459">
        <f t="shared" si="18"/>
        <v>7245.06</v>
      </c>
      <c r="H26" s="460">
        <f t="shared" si="18"/>
        <v>2421.67</v>
      </c>
      <c r="I26" s="461">
        <f>I21+I25</f>
        <v>307.19</v>
      </c>
      <c r="J26" s="461">
        <f>J21+J25</f>
        <v>9973.92</v>
      </c>
      <c r="K26" s="459">
        <f t="shared" si="18"/>
        <v>4365.84</v>
      </c>
      <c r="L26" s="460">
        <f t="shared" si="18"/>
        <v>1459.29</v>
      </c>
      <c r="M26" s="461">
        <f t="shared" si="18"/>
        <v>185.12</v>
      </c>
      <c r="N26" s="462">
        <f t="shared" si="18"/>
        <v>6010.25</v>
      </c>
      <c r="O26" s="459">
        <f t="shared" si="18"/>
        <v>11610.9</v>
      </c>
      <c r="P26" s="460">
        <f t="shared" si="18"/>
        <v>3880.96</v>
      </c>
      <c r="Q26" s="461">
        <f t="shared" si="18"/>
        <v>492.31</v>
      </c>
      <c r="R26" s="428">
        <f t="shared" si="18"/>
        <v>15984.170000000002</v>
      </c>
      <c r="S26" s="459">
        <f t="shared" si="18"/>
        <v>1399.0999999999997</v>
      </c>
      <c r="T26" s="463">
        <f t="shared" si="18"/>
        <v>-932.4200000000003</v>
      </c>
      <c r="U26" s="464">
        <f t="shared" si="18"/>
        <v>7.6899999999999826</v>
      </c>
      <c r="V26" s="428">
        <f t="shared" si="18"/>
        <v>474.36999999999944</v>
      </c>
    </row>
    <row r="28" spans="1:36" ht="16.5" customHeight="1" x14ac:dyDescent="0.2">
      <c r="A28" s="11" t="s">
        <v>11</v>
      </c>
      <c r="B28" s="11"/>
      <c r="C28" s="11"/>
      <c r="D28" s="11"/>
      <c r="E28" s="11"/>
      <c r="G28" s="11"/>
      <c r="H28" s="11"/>
      <c r="I28" s="11"/>
      <c r="K28" s="11"/>
      <c r="L28" s="11"/>
      <c r="M28" s="11"/>
      <c r="O28" s="11"/>
      <c r="P28" s="11"/>
      <c r="Q28" s="11"/>
      <c r="S28" s="1011" t="s">
        <v>12</v>
      </c>
      <c r="T28" s="1011"/>
      <c r="U28" s="1011"/>
      <c r="W28" s="12"/>
      <c r="X28" s="12"/>
      <c r="Y28" s="12"/>
      <c r="Z28" s="12"/>
      <c r="AD28" s="12"/>
      <c r="AE28" s="12"/>
    </row>
    <row r="29" spans="1:36" ht="12.75" customHeight="1" x14ac:dyDescent="0.2">
      <c r="B29" s="55"/>
      <c r="C29" s="55"/>
      <c r="D29" s="55"/>
      <c r="E29" s="55"/>
      <c r="F29" s="55"/>
      <c r="G29" s="55"/>
      <c r="H29" s="55"/>
      <c r="I29" s="55"/>
      <c r="J29" s="55"/>
      <c r="K29" s="55"/>
      <c r="L29" s="55"/>
      <c r="M29" s="55"/>
      <c r="N29" s="55"/>
      <c r="O29" s="55"/>
      <c r="P29" s="55"/>
      <c r="Q29" s="1010" t="s">
        <v>13</v>
      </c>
      <c r="R29" s="1010"/>
      <c r="S29" s="1010"/>
      <c r="T29" s="1010"/>
      <c r="U29" s="1010"/>
      <c r="V29" s="1010"/>
      <c r="W29" s="55"/>
      <c r="X29" s="55"/>
      <c r="Y29" s="55"/>
      <c r="Z29" s="55"/>
      <c r="AA29" s="55"/>
      <c r="AB29" s="55"/>
      <c r="AC29" s="55"/>
      <c r="AD29" s="12"/>
      <c r="AE29" s="12"/>
    </row>
    <row r="30" spans="1:36" ht="12.75" customHeight="1" x14ac:dyDescent="0.2">
      <c r="B30" s="55"/>
      <c r="C30" s="55"/>
      <c r="D30" s="55"/>
      <c r="E30" s="55"/>
      <c r="F30" s="55"/>
      <c r="G30" s="55"/>
      <c r="H30" s="55"/>
      <c r="I30" s="55"/>
      <c r="J30" s="55"/>
      <c r="K30" s="55"/>
      <c r="L30" s="55"/>
      <c r="M30" s="55"/>
      <c r="N30" s="55"/>
      <c r="O30" s="55"/>
      <c r="P30" s="55"/>
      <c r="Q30" s="55"/>
      <c r="R30" s="1010" t="s">
        <v>19</v>
      </c>
      <c r="S30" s="1010"/>
      <c r="T30" s="1010"/>
      <c r="U30" s="1010"/>
      <c r="V30" s="1010"/>
      <c r="W30" s="79"/>
      <c r="X30" s="79"/>
      <c r="Y30" s="79"/>
      <c r="Z30" s="79"/>
      <c r="AA30" s="79"/>
      <c r="AB30" s="79"/>
      <c r="AC30" s="79"/>
      <c r="AD30" s="79"/>
      <c r="AE30" s="79"/>
      <c r="AF30" s="79"/>
      <c r="AG30" s="79"/>
      <c r="AH30" s="79"/>
      <c r="AI30" s="79"/>
      <c r="AJ30" s="79"/>
    </row>
    <row r="31" spans="1:36" x14ac:dyDescent="0.2">
      <c r="A31" s="11"/>
      <c r="B31" s="11"/>
      <c r="C31" s="11"/>
      <c r="D31" s="11"/>
      <c r="E31" s="11"/>
      <c r="G31" s="11"/>
      <c r="H31" s="11"/>
      <c r="I31" s="11"/>
      <c r="K31" s="11"/>
      <c r="L31" s="11"/>
      <c r="M31" s="11"/>
      <c r="O31" s="11"/>
      <c r="P31" s="11"/>
      <c r="Q31" s="11"/>
      <c r="S31" s="1" t="s">
        <v>85</v>
      </c>
      <c r="T31" s="1"/>
      <c r="U31" s="1"/>
      <c r="V31" s="316"/>
      <c r="W31" s="11"/>
      <c r="X31" s="11"/>
      <c r="Y31" s="11"/>
      <c r="AD31" s="11"/>
      <c r="AE31" s="11"/>
    </row>
  </sheetData>
  <mergeCells count="20">
    <mergeCell ref="Q29:V29"/>
    <mergeCell ref="S28:U28"/>
    <mergeCell ref="R30:V30"/>
    <mergeCell ref="G2:O2"/>
    <mergeCell ref="A6:C6"/>
    <mergeCell ref="B8:B10"/>
    <mergeCell ref="A8:A10"/>
    <mergeCell ref="T2:U2"/>
    <mergeCell ref="A3:V3"/>
    <mergeCell ref="O9:R9"/>
    <mergeCell ref="A4:V4"/>
    <mergeCell ref="A5:V5"/>
    <mergeCell ref="C8:F9"/>
    <mergeCell ref="G9:J9"/>
    <mergeCell ref="K9:N9"/>
    <mergeCell ref="AA7:AC7"/>
    <mergeCell ref="U7:V7"/>
    <mergeCell ref="X14:AA14"/>
    <mergeCell ref="G8:R8"/>
    <mergeCell ref="S8:V9"/>
  </mergeCells>
  <printOptions horizontalCentered="1"/>
  <pageMargins left="0.31" right="0.39" top="0.36" bottom="0" header="0.39" footer="0.31496062992125984"/>
  <pageSetup paperSize="9" scale="70" orientation="landscape" r:id="rId1"/>
  <colBreaks count="1" manualBreakCount="1">
    <brk id="2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20"/>
  <sheetViews>
    <sheetView view="pageBreakPreview" topLeftCell="A8" zoomScaleSheetLayoutView="100" workbookViewId="0">
      <selection activeCell="J13" sqref="J13"/>
    </sheetView>
  </sheetViews>
  <sheetFormatPr defaultRowHeight="12.75" x14ac:dyDescent="0.2"/>
  <cols>
    <col min="1" max="1" width="9.140625" style="378" customWidth="1"/>
    <col min="2" max="2" width="27" style="378" customWidth="1"/>
    <col min="3" max="3" width="19.140625" style="378" customWidth="1"/>
    <col min="4" max="5" width="16.140625" style="378" customWidth="1"/>
    <col min="6" max="6" width="18.7109375" style="378" customWidth="1"/>
    <col min="7" max="7" width="17.5703125" style="378" customWidth="1"/>
    <col min="8" max="8" width="13" style="378" customWidth="1"/>
    <col min="9" max="16384" width="9.140625" style="378"/>
  </cols>
  <sheetData>
    <row r="1" spans="1:8" x14ac:dyDescent="0.2">
      <c r="H1" s="397" t="s">
        <v>682</v>
      </c>
    </row>
    <row r="2" spans="1:8" ht="18" x14ac:dyDescent="0.25">
      <c r="A2" s="1277" t="s">
        <v>0</v>
      </c>
      <c r="B2" s="1277"/>
      <c r="C2" s="1277"/>
      <c r="D2" s="1277"/>
      <c r="E2" s="1277"/>
      <c r="F2" s="1277"/>
      <c r="G2" s="1277"/>
      <c r="H2" s="1277"/>
    </row>
    <row r="3" spans="1:8" ht="18" x14ac:dyDescent="0.25">
      <c r="A3" s="1278" t="s">
        <v>664</v>
      </c>
      <c r="B3" s="1278"/>
      <c r="C3" s="1278"/>
      <c r="D3" s="1278"/>
      <c r="E3" s="1278"/>
      <c r="F3" s="1278"/>
      <c r="G3" s="1278"/>
      <c r="H3" s="1278"/>
    </row>
    <row r="4" spans="1:8" ht="13.5" customHeight="1" x14ac:dyDescent="0.25">
      <c r="A4" s="398"/>
      <c r="B4" s="398"/>
      <c r="C4" s="398"/>
      <c r="D4" s="398"/>
      <c r="E4" s="398"/>
      <c r="F4" s="398"/>
      <c r="G4" s="398"/>
      <c r="H4" s="398"/>
    </row>
    <row r="5" spans="1:8" ht="18" x14ac:dyDescent="0.25">
      <c r="A5" s="1279" t="s">
        <v>774</v>
      </c>
      <c r="B5" s="1279"/>
      <c r="C5" s="1279"/>
      <c r="D5" s="1279"/>
      <c r="E5" s="1279"/>
      <c r="F5" s="1279"/>
      <c r="G5" s="1279"/>
      <c r="H5" s="1279"/>
    </row>
    <row r="6" spans="1:8" ht="15" x14ac:dyDescent="0.3">
      <c r="A6" s="399" t="s">
        <v>613</v>
      </c>
      <c r="B6" s="399"/>
      <c r="C6" s="399"/>
      <c r="D6" s="399"/>
      <c r="E6" s="399"/>
      <c r="F6" s="399"/>
      <c r="G6" s="399" t="s">
        <v>923</v>
      </c>
    </row>
    <row r="7" spans="1:8" ht="21.75" customHeight="1" x14ac:dyDescent="0.2">
      <c r="A7" s="1275" t="s">
        <v>2</v>
      </c>
      <c r="B7" s="1275" t="s">
        <v>614</v>
      </c>
      <c r="C7" s="1183" t="s">
        <v>38</v>
      </c>
      <c r="D7" s="1183" t="s">
        <v>615</v>
      </c>
      <c r="E7" s="1183"/>
      <c r="F7" s="1280" t="s">
        <v>616</v>
      </c>
      <c r="G7" s="1280"/>
      <c r="H7" s="1275" t="s">
        <v>250</v>
      </c>
    </row>
    <row r="8" spans="1:8" ht="25.5" customHeight="1" x14ac:dyDescent="0.2">
      <c r="A8" s="1276"/>
      <c r="B8" s="1276"/>
      <c r="C8" s="1183"/>
      <c r="D8" s="387" t="s">
        <v>617</v>
      </c>
      <c r="E8" s="387" t="s">
        <v>618</v>
      </c>
      <c r="F8" s="400" t="s">
        <v>619</v>
      </c>
      <c r="G8" s="387" t="s">
        <v>620</v>
      </c>
      <c r="H8" s="1276"/>
    </row>
    <row r="9" spans="1:8" ht="15" x14ac:dyDescent="0.2">
      <c r="A9" s="401" t="s">
        <v>293</v>
      </c>
      <c r="B9" s="401" t="s">
        <v>294</v>
      </c>
      <c r="C9" s="401" t="s">
        <v>295</v>
      </c>
      <c r="D9" s="401" t="s">
        <v>296</v>
      </c>
      <c r="E9" s="401" t="s">
        <v>297</v>
      </c>
      <c r="F9" s="401" t="s">
        <v>298</v>
      </c>
      <c r="G9" s="401" t="s">
        <v>299</v>
      </c>
      <c r="H9" s="401">
        <v>8</v>
      </c>
    </row>
    <row r="10" spans="1:8" ht="46.5" customHeight="1" x14ac:dyDescent="0.2">
      <c r="A10" s="868">
        <v>1</v>
      </c>
      <c r="B10" s="1281" t="s">
        <v>740</v>
      </c>
      <c r="C10" s="624" t="s">
        <v>741</v>
      </c>
      <c r="D10" s="625">
        <v>12</v>
      </c>
      <c r="E10" s="625">
        <v>12</v>
      </c>
      <c r="F10" s="1284" t="s">
        <v>988</v>
      </c>
      <c r="G10" s="1285"/>
      <c r="H10" s="1286"/>
    </row>
    <row r="11" spans="1:8" ht="46.5" customHeight="1" x14ac:dyDescent="0.2">
      <c r="A11" s="868">
        <v>2</v>
      </c>
      <c r="B11" s="1282"/>
      <c r="C11" s="624" t="s">
        <v>397</v>
      </c>
      <c r="D11" s="625">
        <v>6</v>
      </c>
      <c r="E11" s="625">
        <v>6</v>
      </c>
      <c r="F11" s="1287"/>
      <c r="G11" s="1288"/>
      <c r="H11" s="1289"/>
    </row>
    <row r="12" spans="1:8" ht="46.5" customHeight="1" x14ac:dyDescent="0.2">
      <c r="A12" s="868">
        <v>3</v>
      </c>
      <c r="B12" s="1282"/>
      <c r="C12" s="624" t="s">
        <v>399</v>
      </c>
      <c r="D12" s="625">
        <v>6</v>
      </c>
      <c r="E12" s="625">
        <v>6</v>
      </c>
      <c r="F12" s="1287"/>
      <c r="G12" s="1288"/>
      <c r="H12" s="1289"/>
    </row>
    <row r="13" spans="1:8" ht="46.5" customHeight="1" x14ac:dyDescent="0.2">
      <c r="A13" s="868">
        <v>4</v>
      </c>
      <c r="B13" s="1283"/>
      <c r="C13" s="624" t="s">
        <v>402</v>
      </c>
      <c r="D13" s="625">
        <v>6</v>
      </c>
      <c r="E13" s="625">
        <v>6</v>
      </c>
      <c r="F13" s="1290"/>
      <c r="G13" s="1291"/>
      <c r="H13" s="1292"/>
    </row>
    <row r="14" spans="1:8" ht="24" customHeight="1" x14ac:dyDescent="0.2">
      <c r="A14" s="626" t="s">
        <v>18</v>
      </c>
      <c r="B14" s="385" t="s">
        <v>621</v>
      </c>
      <c r="C14" s="402"/>
      <c r="D14" s="626">
        <f>SUM(D10:D13)</f>
        <v>30</v>
      </c>
      <c r="E14" s="626">
        <f>SUM(E10:E13)</f>
        <v>30</v>
      </c>
      <c r="F14" s="626"/>
      <c r="G14" s="626"/>
      <c r="H14" s="402"/>
    </row>
    <row r="17" spans="1:8" ht="12.75" customHeight="1" x14ac:dyDescent="0.2">
      <c r="A17" s="116"/>
      <c r="B17" s="116"/>
      <c r="C17" s="116"/>
      <c r="D17" s="116"/>
      <c r="F17" s="1189" t="s">
        <v>12</v>
      </c>
      <c r="G17" s="1189"/>
      <c r="H17" s="1189"/>
    </row>
    <row r="18" spans="1:8" ht="12.75" customHeight="1" x14ac:dyDescent="0.2">
      <c r="A18" s="116"/>
      <c r="B18" s="116"/>
      <c r="C18" s="116"/>
      <c r="D18" s="116"/>
      <c r="F18" s="1274" t="s">
        <v>13</v>
      </c>
      <c r="G18" s="1274"/>
      <c r="H18" s="1274"/>
    </row>
    <row r="19" spans="1:8" ht="12.75" customHeight="1" x14ac:dyDescent="0.2">
      <c r="A19" s="116" t="s">
        <v>622</v>
      </c>
      <c r="B19" s="116"/>
      <c r="C19" s="116"/>
      <c r="D19" s="116"/>
      <c r="F19" s="1274" t="s">
        <v>88</v>
      </c>
      <c r="G19" s="1274"/>
      <c r="H19" s="1274"/>
    </row>
    <row r="20" spans="1:8" x14ac:dyDescent="0.2">
      <c r="C20" s="116"/>
      <c r="D20" s="116"/>
      <c r="G20" s="118" t="s">
        <v>85</v>
      </c>
    </row>
  </sheetData>
  <mergeCells count="14">
    <mergeCell ref="F19:H19"/>
    <mergeCell ref="H7:H8"/>
    <mergeCell ref="F17:H17"/>
    <mergeCell ref="F18:H18"/>
    <mergeCell ref="A2:H2"/>
    <mergeCell ref="A3:H3"/>
    <mergeCell ref="A5:H5"/>
    <mergeCell ref="A7:A8"/>
    <mergeCell ref="B7:B8"/>
    <mergeCell ref="C7:C8"/>
    <mergeCell ref="D7:E7"/>
    <mergeCell ref="F7:G7"/>
    <mergeCell ref="B10:B13"/>
    <mergeCell ref="F10:H13"/>
  </mergeCells>
  <printOptions horizontalCentered="1"/>
  <pageMargins left="0.59" right="0.61" top="0.23622047244094491" bottom="0" header="0.31496062992125984" footer="0.31496062992125984"/>
  <pageSetup paperSize="9" scale="9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30"/>
  <sheetViews>
    <sheetView view="pageBreakPreview" topLeftCell="A7" zoomScale="112" zoomScaleSheetLayoutView="112" workbookViewId="0">
      <selection activeCell="N17" sqref="N17"/>
    </sheetView>
  </sheetViews>
  <sheetFormatPr defaultRowHeight="21.75" customHeight="1" x14ac:dyDescent="0.2"/>
  <cols>
    <col min="1" max="1" width="7.28515625" customWidth="1"/>
    <col min="2" max="2" width="14.85546875" customWidth="1"/>
    <col min="3" max="4" width="11.85546875" customWidth="1"/>
    <col min="5" max="5" width="12.42578125" customWidth="1"/>
    <col min="6" max="6" width="11.42578125" customWidth="1"/>
    <col min="7" max="7" width="11.7109375" customWidth="1"/>
    <col min="8" max="8" width="12.7109375" customWidth="1"/>
    <col min="9" max="9" width="12.140625" customWidth="1"/>
    <col min="10" max="10" width="10.28515625" customWidth="1"/>
    <col min="11" max="11" width="12" customWidth="1"/>
    <col min="12" max="12" width="11.42578125" customWidth="1"/>
  </cols>
  <sheetData>
    <row r="1" spans="1:12" ht="21.75" customHeight="1" x14ac:dyDescent="0.35">
      <c r="A1" s="1295" t="s">
        <v>0</v>
      </c>
      <c r="B1" s="1295"/>
      <c r="C1" s="1295"/>
      <c r="D1" s="1295"/>
      <c r="E1" s="1295"/>
      <c r="F1" s="1295"/>
      <c r="G1" s="1295"/>
      <c r="H1" s="1295"/>
      <c r="I1" s="1295"/>
      <c r="J1" s="1295"/>
      <c r="K1" s="1295"/>
      <c r="L1" s="133" t="s">
        <v>683</v>
      </c>
    </row>
    <row r="2" spans="1:12" ht="21.75" customHeight="1" x14ac:dyDescent="0.35">
      <c r="A2" s="1295" t="s">
        <v>794</v>
      </c>
      <c r="B2" s="1295"/>
      <c r="C2" s="1295"/>
      <c r="D2" s="1295"/>
      <c r="E2" s="1295"/>
      <c r="F2" s="1295"/>
      <c r="G2" s="1295"/>
      <c r="H2" s="1295"/>
      <c r="I2" s="1295"/>
      <c r="J2" s="1295"/>
      <c r="K2" s="1295"/>
    </row>
    <row r="3" spans="1:12" ht="5.25" customHeight="1" x14ac:dyDescent="0.3">
      <c r="A3" s="113"/>
      <c r="B3" s="113"/>
      <c r="C3" s="113"/>
      <c r="D3" s="113"/>
      <c r="E3" s="113"/>
      <c r="F3" s="113"/>
      <c r="G3" s="113"/>
      <c r="H3" s="113"/>
      <c r="I3" s="113"/>
      <c r="J3" s="113"/>
      <c r="K3" s="113"/>
    </row>
    <row r="4" spans="1:12" ht="19.5" customHeight="1" x14ac:dyDescent="0.2">
      <c r="A4" s="1296" t="s">
        <v>684</v>
      </c>
      <c r="B4" s="1296"/>
      <c r="C4" s="1296"/>
      <c r="D4" s="1296"/>
      <c r="E4" s="1296"/>
      <c r="F4" s="1296"/>
      <c r="G4" s="1296"/>
      <c r="H4" s="1296"/>
      <c r="I4" s="1296"/>
      <c r="J4" s="1296"/>
      <c r="K4" s="1296"/>
      <c r="L4" s="1296"/>
    </row>
    <row r="5" spans="1:12" ht="21.75" customHeight="1" x14ac:dyDescent="0.3">
      <c r="A5" s="114" t="s">
        <v>588</v>
      </c>
      <c r="B5" s="114"/>
      <c r="C5" s="114"/>
      <c r="D5" s="114"/>
      <c r="E5" s="114"/>
      <c r="F5" s="114"/>
      <c r="G5" s="114"/>
      <c r="H5" s="114"/>
      <c r="I5" s="114"/>
      <c r="J5" s="399" t="s">
        <v>911</v>
      </c>
      <c r="K5" s="114"/>
      <c r="L5" s="12"/>
    </row>
    <row r="6" spans="1:12" ht="27.75" customHeight="1" x14ac:dyDescent="0.2">
      <c r="A6" s="1206" t="s">
        <v>2</v>
      </c>
      <c r="B6" s="1206" t="s">
        <v>38</v>
      </c>
      <c r="C6" s="1090" t="s">
        <v>576</v>
      </c>
      <c r="D6" s="1091"/>
      <c r="E6" s="1092"/>
      <c r="F6" s="1090" t="s">
        <v>577</v>
      </c>
      <c r="G6" s="1091"/>
      <c r="H6" s="1091"/>
      <c r="I6" s="1092"/>
      <c r="J6" s="1064" t="s">
        <v>578</v>
      </c>
      <c r="K6" s="1064"/>
      <c r="L6" s="1064"/>
    </row>
    <row r="7" spans="1:12" ht="48.75" customHeight="1" x14ac:dyDescent="0.2">
      <c r="A7" s="1207"/>
      <c r="B7" s="1207"/>
      <c r="C7" s="231" t="s">
        <v>241</v>
      </c>
      <c r="D7" s="231" t="s">
        <v>579</v>
      </c>
      <c r="E7" s="231" t="s">
        <v>580</v>
      </c>
      <c r="F7" s="231" t="s">
        <v>241</v>
      </c>
      <c r="G7" s="231" t="s">
        <v>581</v>
      </c>
      <c r="H7" s="231" t="s">
        <v>582</v>
      </c>
      <c r="I7" s="231" t="s">
        <v>580</v>
      </c>
      <c r="J7" s="195" t="s">
        <v>583</v>
      </c>
      <c r="K7" s="195" t="s">
        <v>584</v>
      </c>
      <c r="L7" s="231" t="s">
        <v>580</v>
      </c>
    </row>
    <row r="8" spans="1:12" ht="16.5" customHeight="1" x14ac:dyDescent="0.2">
      <c r="A8" s="314" t="s">
        <v>293</v>
      </c>
      <c r="B8" s="314" t="s">
        <v>294</v>
      </c>
      <c r="C8" s="314" t="s">
        <v>295</v>
      </c>
      <c r="D8" s="314" t="s">
        <v>296</v>
      </c>
      <c r="E8" s="314" t="s">
        <v>297</v>
      </c>
      <c r="F8" s="314" t="s">
        <v>298</v>
      </c>
      <c r="G8" s="314" t="s">
        <v>299</v>
      </c>
      <c r="H8" s="314" t="s">
        <v>300</v>
      </c>
      <c r="I8" s="314" t="s">
        <v>321</v>
      </c>
      <c r="J8" s="314" t="s">
        <v>322</v>
      </c>
      <c r="K8" s="314" t="s">
        <v>323</v>
      </c>
      <c r="L8" s="314" t="s">
        <v>351</v>
      </c>
    </row>
    <row r="9" spans="1:12" ht="18" customHeight="1" x14ac:dyDescent="0.2">
      <c r="A9" s="218">
        <v>1</v>
      </c>
      <c r="B9" s="225" t="s">
        <v>392</v>
      </c>
      <c r="C9" s="218">
        <v>41</v>
      </c>
      <c r="D9" s="218">
        <v>1252</v>
      </c>
      <c r="E9" s="218">
        <v>27135</v>
      </c>
      <c r="F9" s="218">
        <v>1</v>
      </c>
      <c r="G9" s="218">
        <v>27</v>
      </c>
      <c r="H9" s="1176" t="s">
        <v>872</v>
      </c>
      <c r="I9" s="218">
        <v>500</v>
      </c>
      <c r="J9" s="92">
        <v>0</v>
      </c>
      <c r="K9" s="92">
        <v>0</v>
      </c>
      <c r="L9" s="92">
        <v>0</v>
      </c>
    </row>
    <row r="10" spans="1:12" ht="18" customHeight="1" x14ac:dyDescent="0.2">
      <c r="A10" s="218">
        <v>2</v>
      </c>
      <c r="B10" s="225" t="s">
        <v>393</v>
      </c>
      <c r="C10" s="218">
        <v>1</v>
      </c>
      <c r="D10" s="218">
        <v>82</v>
      </c>
      <c r="E10" s="218">
        <v>1160</v>
      </c>
      <c r="F10" s="218">
        <v>0</v>
      </c>
      <c r="G10" s="218">
        <v>0</v>
      </c>
      <c r="H10" s="1177"/>
      <c r="I10" s="218">
        <v>0</v>
      </c>
      <c r="J10" s="218">
        <v>0</v>
      </c>
      <c r="K10" s="218">
        <v>0</v>
      </c>
      <c r="L10" s="218">
        <v>0</v>
      </c>
    </row>
    <row r="11" spans="1:12" ht="18" customHeight="1" x14ac:dyDescent="0.2">
      <c r="A11" s="218">
        <v>3</v>
      </c>
      <c r="B11" s="225" t="s">
        <v>394</v>
      </c>
      <c r="C11" s="218">
        <v>20</v>
      </c>
      <c r="D11" s="218">
        <v>612</v>
      </c>
      <c r="E11" s="218">
        <v>43168</v>
      </c>
      <c r="F11" s="218">
        <v>1</v>
      </c>
      <c r="G11" s="218">
        <v>41</v>
      </c>
      <c r="H11" s="1177"/>
      <c r="I11" s="218">
        <v>1000</v>
      </c>
      <c r="J11" s="218">
        <v>0</v>
      </c>
      <c r="K11" s="218">
        <v>0</v>
      </c>
      <c r="L11" s="218">
        <v>0</v>
      </c>
    </row>
    <row r="12" spans="1:12" ht="18" customHeight="1" x14ac:dyDescent="0.2">
      <c r="A12" s="218">
        <v>4</v>
      </c>
      <c r="B12" s="225" t="s">
        <v>395</v>
      </c>
      <c r="C12" s="218">
        <v>124</v>
      </c>
      <c r="D12" s="218">
        <v>4464</v>
      </c>
      <c r="E12" s="218">
        <v>79260</v>
      </c>
      <c r="F12" s="218">
        <v>2</v>
      </c>
      <c r="G12" s="218">
        <v>104</v>
      </c>
      <c r="H12" s="1177"/>
      <c r="I12" s="218">
        <v>2080</v>
      </c>
      <c r="J12" s="218">
        <v>0</v>
      </c>
      <c r="K12" s="218">
        <v>0</v>
      </c>
      <c r="L12" s="218">
        <v>0</v>
      </c>
    </row>
    <row r="13" spans="1:12" ht="18" customHeight="1" x14ac:dyDescent="0.2">
      <c r="A13" s="218">
        <v>5</v>
      </c>
      <c r="B13" s="227" t="s">
        <v>396</v>
      </c>
      <c r="C13" s="218">
        <v>9</v>
      </c>
      <c r="D13" s="218">
        <v>852</v>
      </c>
      <c r="E13" s="218">
        <v>144840</v>
      </c>
      <c r="F13" s="218">
        <v>0</v>
      </c>
      <c r="G13" s="218">
        <v>0</v>
      </c>
      <c r="H13" s="1177"/>
      <c r="I13" s="218">
        <v>0</v>
      </c>
      <c r="J13" s="218">
        <v>0</v>
      </c>
      <c r="K13" s="218">
        <v>0</v>
      </c>
      <c r="L13" s="92">
        <v>0</v>
      </c>
    </row>
    <row r="14" spans="1:12" ht="27" customHeight="1" x14ac:dyDescent="0.2">
      <c r="A14" s="218">
        <v>6</v>
      </c>
      <c r="B14" s="225" t="s">
        <v>397</v>
      </c>
      <c r="C14" s="218">
        <v>17</v>
      </c>
      <c r="D14" s="218">
        <v>1710</v>
      </c>
      <c r="E14" s="218">
        <v>60765</v>
      </c>
      <c r="F14" s="218">
        <v>2</v>
      </c>
      <c r="G14" s="218">
        <v>60</v>
      </c>
      <c r="H14" s="1177"/>
      <c r="I14" s="218">
        <v>536</v>
      </c>
      <c r="J14" s="218">
        <v>0</v>
      </c>
      <c r="K14" s="218">
        <v>0</v>
      </c>
      <c r="L14" s="218">
        <v>0</v>
      </c>
    </row>
    <row r="15" spans="1:12" ht="18" customHeight="1" x14ac:dyDescent="0.2">
      <c r="A15" s="218">
        <v>7</v>
      </c>
      <c r="B15" s="227" t="s">
        <v>398</v>
      </c>
      <c r="C15" s="218">
        <v>9</v>
      </c>
      <c r="D15" s="218">
        <v>654</v>
      </c>
      <c r="E15" s="218">
        <v>18400</v>
      </c>
      <c r="F15" s="218">
        <v>1</v>
      </c>
      <c r="G15" s="218">
        <v>44</v>
      </c>
      <c r="H15" s="1177"/>
      <c r="I15" s="218">
        <v>220</v>
      </c>
      <c r="J15" s="218">
        <v>0</v>
      </c>
      <c r="K15" s="218">
        <v>0</v>
      </c>
      <c r="L15" s="218">
        <v>0</v>
      </c>
    </row>
    <row r="16" spans="1:12" ht="25.5" customHeight="1" x14ac:dyDescent="0.2">
      <c r="A16" s="218">
        <v>8</v>
      </c>
      <c r="B16" s="225" t="s">
        <v>399</v>
      </c>
      <c r="C16" s="218">
        <v>20</v>
      </c>
      <c r="D16" s="218">
        <v>543</v>
      </c>
      <c r="E16" s="218">
        <v>14705</v>
      </c>
      <c r="F16" s="218">
        <v>3</v>
      </c>
      <c r="G16" s="218">
        <v>101</v>
      </c>
      <c r="H16" s="1177"/>
      <c r="I16" s="218">
        <v>950</v>
      </c>
      <c r="J16" s="218">
        <v>0</v>
      </c>
      <c r="K16" s="218">
        <v>0</v>
      </c>
      <c r="L16" s="218">
        <v>0</v>
      </c>
    </row>
    <row r="17" spans="1:12" ht="28.5" customHeight="1" x14ac:dyDescent="0.2">
      <c r="A17" s="218">
        <v>9</v>
      </c>
      <c r="B17" s="225" t="s">
        <v>400</v>
      </c>
      <c r="C17" s="218">
        <v>176</v>
      </c>
      <c r="D17" s="218">
        <v>6970</v>
      </c>
      <c r="E17" s="218">
        <v>55760</v>
      </c>
      <c r="F17" s="218">
        <v>0</v>
      </c>
      <c r="G17" s="218">
        <v>0</v>
      </c>
      <c r="H17" s="1177"/>
      <c r="I17" s="218">
        <v>0</v>
      </c>
      <c r="J17" s="218">
        <v>0</v>
      </c>
      <c r="K17" s="218">
        <v>0</v>
      </c>
      <c r="L17" s="218">
        <v>0</v>
      </c>
    </row>
    <row r="18" spans="1:12" ht="18" customHeight="1" x14ac:dyDescent="0.2">
      <c r="A18" s="218">
        <v>10</v>
      </c>
      <c r="B18" s="225" t="s">
        <v>401</v>
      </c>
      <c r="C18" s="218">
        <v>37</v>
      </c>
      <c r="D18" s="218">
        <v>1226</v>
      </c>
      <c r="E18" s="218">
        <v>23290</v>
      </c>
      <c r="F18" s="218">
        <v>3</v>
      </c>
      <c r="G18" s="218">
        <v>78</v>
      </c>
      <c r="H18" s="1177"/>
      <c r="I18" s="218">
        <v>750</v>
      </c>
      <c r="J18" s="218">
        <v>0</v>
      </c>
      <c r="K18" s="218">
        <v>0</v>
      </c>
      <c r="L18" s="218">
        <v>0</v>
      </c>
    </row>
    <row r="19" spans="1:12" ht="18" customHeight="1" x14ac:dyDescent="0.2">
      <c r="A19" s="218">
        <v>11</v>
      </c>
      <c r="B19" s="225" t="s">
        <v>402</v>
      </c>
      <c r="C19" s="218">
        <v>0</v>
      </c>
      <c r="D19" s="218">
        <v>0</v>
      </c>
      <c r="E19" s="218">
        <v>0</v>
      </c>
      <c r="F19" s="218">
        <v>11</v>
      </c>
      <c r="G19" s="218">
        <v>399</v>
      </c>
      <c r="H19" s="1177"/>
      <c r="I19" s="218">
        <v>4912</v>
      </c>
      <c r="J19" s="218">
        <v>0</v>
      </c>
      <c r="K19" s="218">
        <v>0</v>
      </c>
      <c r="L19" s="218">
        <v>0</v>
      </c>
    </row>
    <row r="20" spans="1:12" ht="18" customHeight="1" x14ac:dyDescent="0.2">
      <c r="A20" s="218">
        <v>12</v>
      </c>
      <c r="B20" s="225" t="s">
        <v>403</v>
      </c>
      <c r="C20" s="270">
        <v>110</v>
      </c>
      <c r="D20" s="270">
        <v>6145</v>
      </c>
      <c r="E20" s="270">
        <v>97945</v>
      </c>
      <c r="F20" s="218">
        <v>4</v>
      </c>
      <c r="G20" s="218">
        <v>650</v>
      </c>
      <c r="H20" s="1177"/>
      <c r="I20" s="218">
        <v>1775</v>
      </c>
      <c r="J20" s="218">
        <v>0</v>
      </c>
      <c r="K20" s="218">
        <v>0</v>
      </c>
      <c r="L20" s="218">
        <v>0</v>
      </c>
    </row>
    <row r="21" spans="1:12" ht="18" customHeight="1" x14ac:dyDescent="0.2">
      <c r="A21" s="218">
        <v>13</v>
      </c>
      <c r="B21" s="225" t="s">
        <v>404</v>
      </c>
      <c r="C21" s="270">
        <v>0</v>
      </c>
      <c r="D21" s="270">
        <v>0</v>
      </c>
      <c r="E21" s="270">
        <v>0</v>
      </c>
      <c r="F21" s="218">
        <v>0</v>
      </c>
      <c r="G21" s="218">
        <v>0</v>
      </c>
      <c r="H21" s="1178"/>
      <c r="I21" s="218">
        <v>0</v>
      </c>
      <c r="J21" s="218">
        <v>0</v>
      </c>
      <c r="K21" s="218">
        <v>0</v>
      </c>
      <c r="L21" s="218">
        <v>0</v>
      </c>
    </row>
    <row r="22" spans="1:12" ht="18" customHeight="1" x14ac:dyDescent="0.2">
      <c r="A22" s="342"/>
      <c r="B22" s="233" t="s">
        <v>18</v>
      </c>
      <c r="C22" s="233">
        <f>SUM(C9:C21)</f>
        <v>564</v>
      </c>
      <c r="D22" s="233">
        <f t="shared" ref="D22:L22" si="0">SUM(D9:D21)</f>
        <v>24510</v>
      </c>
      <c r="E22" s="233">
        <f t="shared" si="0"/>
        <v>566428</v>
      </c>
      <c r="F22" s="233">
        <f t="shared" si="0"/>
        <v>28</v>
      </c>
      <c r="G22" s="233">
        <f t="shared" si="0"/>
        <v>1504</v>
      </c>
      <c r="H22" s="233">
        <f>SUM(H9:H21)</f>
        <v>0</v>
      </c>
      <c r="I22" s="233">
        <f t="shared" si="0"/>
        <v>12723</v>
      </c>
      <c r="J22" s="233">
        <f t="shared" si="0"/>
        <v>0</v>
      </c>
      <c r="K22" s="233">
        <f t="shared" si="0"/>
        <v>0</v>
      </c>
      <c r="L22" s="233">
        <f t="shared" si="0"/>
        <v>0</v>
      </c>
    </row>
    <row r="23" spans="1:12" ht="18" customHeight="1" x14ac:dyDescent="0.2">
      <c r="A23" s="1293" t="s">
        <v>791</v>
      </c>
      <c r="B23" s="1293"/>
      <c r="C23" s="1293"/>
      <c r="D23" s="1293"/>
      <c r="E23" s="1293"/>
      <c r="F23" s="1293"/>
      <c r="G23" s="1293"/>
      <c r="H23" s="1293"/>
      <c r="I23" s="1293"/>
      <c r="J23" s="1293"/>
      <c r="K23" s="1293"/>
      <c r="L23" s="1293"/>
    </row>
    <row r="24" spans="1:12" ht="23.25" customHeight="1" x14ac:dyDescent="0.2">
      <c r="A24" s="1294"/>
      <c r="B24" s="1294"/>
      <c r="C24" s="1294"/>
      <c r="D24" s="1294"/>
      <c r="E24" s="1294"/>
      <c r="F24" s="1294"/>
      <c r="G24" s="1294"/>
      <c r="H24" s="1294"/>
      <c r="I24" s="1294"/>
      <c r="J24" s="1294"/>
      <c r="K24" s="1294"/>
      <c r="L24" s="1294"/>
    </row>
    <row r="25" spans="1:12" ht="3.75" customHeight="1" x14ac:dyDescent="0.2">
      <c r="F25" s="116"/>
    </row>
    <row r="26" spans="1:12" ht="10.5" customHeight="1" x14ac:dyDescent="0.2"/>
    <row r="27" spans="1:12" ht="12.75" x14ac:dyDescent="0.2">
      <c r="J27" s="1187" t="s">
        <v>12</v>
      </c>
      <c r="K27" s="1187"/>
      <c r="L27" s="1187"/>
    </row>
    <row r="28" spans="1:12" ht="12.75" x14ac:dyDescent="0.2">
      <c r="A28" s="116" t="s">
        <v>11</v>
      </c>
      <c r="J28" s="1187" t="s">
        <v>13</v>
      </c>
      <c r="K28" s="1187"/>
      <c r="L28" s="1187"/>
    </row>
    <row r="29" spans="1:12" ht="12.75" x14ac:dyDescent="0.2">
      <c r="I29" s="1187" t="s">
        <v>88</v>
      </c>
      <c r="J29" s="1187"/>
      <c r="K29" s="1187"/>
      <c r="L29" s="1187"/>
    </row>
    <row r="30" spans="1:12" ht="12.75" x14ac:dyDescent="0.2">
      <c r="K30" s="118" t="s">
        <v>85</v>
      </c>
    </row>
  </sheetData>
  <mergeCells count="13">
    <mergeCell ref="J27:L27"/>
    <mergeCell ref="J28:L28"/>
    <mergeCell ref="I29:L29"/>
    <mergeCell ref="A23:L24"/>
    <mergeCell ref="A1:K1"/>
    <mergeCell ref="A2:K2"/>
    <mergeCell ref="A6:A7"/>
    <mergeCell ref="B6:B7"/>
    <mergeCell ref="C6:E6"/>
    <mergeCell ref="F6:I6"/>
    <mergeCell ref="J6:L6"/>
    <mergeCell ref="A4:L4"/>
    <mergeCell ref="H9:H21"/>
  </mergeCells>
  <printOptions horizontalCentered="1"/>
  <pageMargins left="0.28999999999999998" right="0.27" top="0.33" bottom="0.26" header="0.25" footer="0.2"/>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M29"/>
  <sheetViews>
    <sheetView view="pageBreakPreview" zoomScaleSheetLayoutView="100" workbookViewId="0">
      <selection activeCell="N16" sqref="N16"/>
    </sheetView>
  </sheetViews>
  <sheetFormatPr defaultRowHeight="12.75" x14ac:dyDescent="0.2"/>
  <cols>
    <col min="1" max="1" width="7.7109375" style="378" customWidth="1"/>
    <col min="2" max="2" width="15.42578125" style="378" customWidth="1"/>
    <col min="3" max="3" width="15.28515625" style="378" customWidth="1"/>
    <col min="4" max="5" width="15.42578125" style="378" customWidth="1"/>
    <col min="6" max="10" width="15.7109375" style="378" customWidth="1"/>
    <col min="11" max="11" width="14.28515625" style="378" customWidth="1"/>
    <col min="12" max="16384" width="9.140625" style="378"/>
  </cols>
  <sheetData>
    <row r="1" spans="1:11" ht="18" x14ac:dyDescent="0.35">
      <c r="A1" s="1299" t="s">
        <v>0</v>
      </c>
      <c r="B1" s="1299"/>
      <c r="C1" s="1299"/>
      <c r="D1" s="1299"/>
      <c r="E1" s="1299"/>
      <c r="F1" s="1299"/>
      <c r="G1" s="1299"/>
      <c r="H1" s="1299"/>
      <c r="I1" s="746"/>
      <c r="J1" s="746"/>
      <c r="K1" s="397" t="s">
        <v>685</v>
      </c>
    </row>
    <row r="2" spans="1:11" ht="21" x14ac:dyDescent="0.35">
      <c r="A2" s="1300" t="s">
        <v>794</v>
      </c>
      <c r="B2" s="1300"/>
      <c r="C2" s="1300"/>
      <c r="D2" s="1300"/>
      <c r="E2" s="1300"/>
      <c r="F2" s="1300"/>
      <c r="G2" s="1300"/>
      <c r="H2" s="1300"/>
      <c r="I2" s="747"/>
      <c r="J2" s="747"/>
    </row>
    <row r="3" spans="1:11" ht="15" x14ac:dyDescent="0.3">
      <c r="A3" s="501"/>
      <c r="B3" s="501"/>
      <c r="C3" s="501"/>
      <c r="D3" s="501"/>
      <c r="E3" s="501"/>
      <c r="F3" s="501"/>
      <c r="G3" s="501"/>
      <c r="H3" s="501"/>
      <c r="I3" s="501"/>
      <c r="J3" s="501"/>
    </row>
    <row r="4" spans="1:11" ht="18.75" x14ac:dyDescent="0.3">
      <c r="A4" s="1303" t="s">
        <v>749</v>
      </c>
      <c r="B4" s="1303"/>
      <c r="C4" s="1303"/>
      <c r="D4" s="1303"/>
      <c r="E4" s="1303"/>
      <c r="F4" s="1303"/>
      <c r="G4" s="1303"/>
      <c r="H4" s="1303"/>
      <c r="I4" s="1303"/>
      <c r="J4" s="1303"/>
      <c r="K4" s="1303"/>
    </row>
    <row r="5" spans="1:11" ht="15" x14ac:dyDescent="0.3">
      <c r="A5" s="399" t="s">
        <v>613</v>
      </c>
      <c r="B5" s="399"/>
      <c r="C5" s="399"/>
      <c r="D5" s="399"/>
      <c r="E5" s="399"/>
      <c r="F5" s="399"/>
      <c r="H5" s="399"/>
      <c r="I5" s="399"/>
      <c r="J5" s="399" t="s">
        <v>911</v>
      </c>
    </row>
    <row r="6" spans="1:11" ht="21.75" customHeight="1" x14ac:dyDescent="0.2">
      <c r="A6" s="1275" t="s">
        <v>2</v>
      </c>
      <c r="B6" s="1275" t="s">
        <v>38</v>
      </c>
      <c r="C6" s="1301" t="s">
        <v>639</v>
      </c>
      <c r="D6" s="1280"/>
      <c r="E6" s="1302"/>
      <c r="F6" s="1301" t="s">
        <v>640</v>
      </c>
      <c r="G6" s="1280"/>
      <c r="H6" s="1302"/>
      <c r="I6" s="1297" t="s">
        <v>830</v>
      </c>
      <c r="J6" s="1297" t="s">
        <v>831</v>
      </c>
      <c r="K6" s="1297" t="s">
        <v>79</v>
      </c>
    </row>
    <row r="7" spans="1:11" ht="26.25" customHeight="1" x14ac:dyDescent="0.2">
      <c r="A7" s="1276"/>
      <c r="B7" s="1276"/>
      <c r="C7" s="387" t="s">
        <v>641</v>
      </c>
      <c r="D7" s="387" t="s">
        <v>642</v>
      </c>
      <c r="E7" s="387" t="s">
        <v>643</v>
      </c>
      <c r="F7" s="387" t="s">
        <v>641</v>
      </c>
      <c r="G7" s="387" t="s">
        <v>642</v>
      </c>
      <c r="H7" s="387" t="s">
        <v>643</v>
      </c>
      <c r="I7" s="1298"/>
      <c r="J7" s="1298"/>
      <c r="K7" s="1298"/>
    </row>
    <row r="8" spans="1:11" ht="15" x14ac:dyDescent="0.2">
      <c r="A8" s="502">
        <v>1</v>
      </c>
      <c r="B8" s="502">
        <v>2</v>
      </c>
      <c r="C8" s="502">
        <v>3</v>
      </c>
      <c r="D8" s="502">
        <v>4</v>
      </c>
      <c r="E8" s="502">
        <v>5</v>
      </c>
      <c r="F8" s="502">
        <v>6</v>
      </c>
      <c r="G8" s="502">
        <v>7</v>
      </c>
      <c r="H8" s="502">
        <v>8</v>
      </c>
      <c r="I8" s="502">
        <v>9</v>
      </c>
      <c r="J8" s="502">
        <v>10</v>
      </c>
      <c r="K8" s="502">
        <v>11</v>
      </c>
    </row>
    <row r="9" spans="1:11" ht="15" customHeight="1" x14ac:dyDescent="0.2">
      <c r="A9" s="663">
        <v>1</v>
      </c>
      <c r="B9" s="225" t="s">
        <v>392</v>
      </c>
      <c r="C9" s="771"/>
      <c r="D9" s="771"/>
      <c r="E9" s="771"/>
      <c r="F9" s="771"/>
      <c r="G9" s="771"/>
      <c r="H9" s="771"/>
      <c r="I9" s="771"/>
      <c r="J9" s="771"/>
      <c r="K9" s="771"/>
    </row>
    <row r="10" spans="1:11" ht="15" customHeight="1" x14ac:dyDescent="0.2">
      <c r="A10" s="663">
        <v>2</v>
      </c>
      <c r="B10" s="225" t="s">
        <v>393</v>
      </c>
      <c r="C10" s="771"/>
      <c r="D10" s="771"/>
      <c r="E10" s="771"/>
      <c r="F10" s="771"/>
      <c r="G10" s="771"/>
      <c r="H10" s="771"/>
      <c r="I10" s="771"/>
      <c r="J10" s="771"/>
      <c r="K10" s="771"/>
    </row>
    <row r="11" spans="1:11" ht="15" customHeight="1" x14ac:dyDescent="0.2">
      <c r="A11" s="663">
        <v>3</v>
      </c>
      <c r="B11" s="225" t="s">
        <v>394</v>
      </c>
      <c r="C11" s="771"/>
      <c r="D11" s="771"/>
      <c r="E11" s="771"/>
      <c r="F11" s="771"/>
      <c r="G11" s="771"/>
      <c r="H11" s="771"/>
      <c r="I11" s="771"/>
      <c r="J11" s="771"/>
      <c r="K11" s="771"/>
    </row>
    <row r="12" spans="1:11" ht="15" customHeight="1" x14ac:dyDescent="0.2">
      <c r="A12" s="663">
        <v>4</v>
      </c>
      <c r="B12" s="225" t="s">
        <v>395</v>
      </c>
      <c r="C12" s="771"/>
      <c r="D12" s="771"/>
      <c r="E12" s="771"/>
      <c r="F12" s="771"/>
      <c r="G12" s="771"/>
      <c r="H12" s="771"/>
      <c r="I12" s="771"/>
      <c r="J12" s="771"/>
      <c r="K12" s="771"/>
    </row>
    <row r="13" spans="1:11" ht="15" customHeight="1" x14ac:dyDescent="0.2">
      <c r="A13" s="663">
        <v>5</v>
      </c>
      <c r="B13" s="227" t="s">
        <v>396</v>
      </c>
      <c r="C13" s="771"/>
      <c r="D13" s="771"/>
      <c r="E13" s="771"/>
      <c r="F13" s="771"/>
      <c r="G13" s="771"/>
      <c r="H13" s="771"/>
      <c r="I13" s="771"/>
      <c r="J13" s="771"/>
      <c r="K13" s="771"/>
    </row>
    <row r="14" spans="1:11" ht="15" customHeight="1" x14ac:dyDescent="0.2">
      <c r="A14" s="663">
        <v>6</v>
      </c>
      <c r="B14" s="225" t="s">
        <v>397</v>
      </c>
      <c r="C14" s="771"/>
      <c r="D14" s="771"/>
      <c r="E14" s="771"/>
      <c r="F14" s="771"/>
      <c r="G14" s="771"/>
      <c r="H14" s="771"/>
      <c r="I14" s="771"/>
      <c r="J14" s="771"/>
      <c r="K14" s="771"/>
    </row>
    <row r="15" spans="1:11" ht="15" customHeight="1" x14ac:dyDescent="0.2">
      <c r="A15" s="663">
        <v>7</v>
      </c>
      <c r="B15" s="227" t="s">
        <v>398</v>
      </c>
      <c r="C15" s="771"/>
      <c r="D15" s="771"/>
      <c r="E15" s="771"/>
      <c r="F15" s="771"/>
      <c r="G15" s="771"/>
      <c r="H15" s="771"/>
      <c r="I15" s="771"/>
      <c r="J15" s="771"/>
      <c r="K15" s="771"/>
    </row>
    <row r="16" spans="1:11" ht="15" customHeight="1" x14ac:dyDescent="0.2">
      <c r="A16" s="663">
        <v>8</v>
      </c>
      <c r="B16" s="225" t="s">
        <v>399</v>
      </c>
      <c r="C16" s="771"/>
      <c r="D16" s="771"/>
      <c r="E16" s="771"/>
      <c r="F16" s="771"/>
      <c r="G16" s="771"/>
      <c r="H16" s="771"/>
      <c r="I16" s="771"/>
      <c r="J16" s="771"/>
      <c r="K16" s="771"/>
    </row>
    <row r="17" spans="1:13" ht="15" customHeight="1" x14ac:dyDescent="0.2">
      <c r="A17" s="663">
        <v>9</v>
      </c>
      <c r="B17" s="225" t="s">
        <v>400</v>
      </c>
      <c r="C17" s="771"/>
      <c r="D17" s="771"/>
      <c r="E17" s="771"/>
      <c r="F17" s="771"/>
      <c r="G17" s="771"/>
      <c r="H17" s="771"/>
      <c r="I17" s="771"/>
      <c r="J17" s="771"/>
      <c r="K17" s="771"/>
      <c r="M17" s="378" t="s">
        <v>10</v>
      </c>
    </row>
    <row r="18" spans="1:13" ht="15" customHeight="1" x14ac:dyDescent="0.2">
      <c r="A18" s="663">
        <v>10</v>
      </c>
      <c r="B18" s="225" t="s">
        <v>401</v>
      </c>
      <c r="C18" s="771"/>
      <c r="D18" s="771"/>
      <c r="E18" s="771"/>
      <c r="F18" s="771"/>
      <c r="G18" s="771"/>
      <c r="H18" s="771"/>
      <c r="I18" s="771"/>
      <c r="J18" s="771"/>
      <c r="K18" s="771"/>
    </row>
    <row r="19" spans="1:13" ht="15" customHeight="1" x14ac:dyDescent="0.2">
      <c r="A19" s="663">
        <v>11</v>
      </c>
      <c r="B19" s="225" t="s">
        <v>402</v>
      </c>
      <c r="C19" s="771"/>
      <c r="D19" s="771"/>
      <c r="E19" s="771"/>
      <c r="F19" s="771"/>
      <c r="G19" s="771"/>
      <c r="H19" s="771"/>
      <c r="I19" s="771"/>
      <c r="J19" s="771"/>
      <c r="K19" s="771"/>
    </row>
    <row r="20" spans="1:13" ht="15" customHeight="1" x14ac:dyDescent="0.2">
      <c r="A20" s="663">
        <v>12</v>
      </c>
      <c r="B20" s="225" t="s">
        <v>403</v>
      </c>
      <c r="C20" s="771"/>
      <c r="D20" s="771"/>
      <c r="E20" s="771"/>
      <c r="F20" s="771"/>
      <c r="G20" s="771"/>
      <c r="H20" s="771"/>
      <c r="I20" s="771"/>
      <c r="J20" s="771"/>
      <c r="K20" s="771"/>
    </row>
    <row r="21" spans="1:13" ht="15" customHeight="1" x14ac:dyDescent="0.2">
      <c r="A21" s="663">
        <v>13</v>
      </c>
      <c r="B21" s="225" t="s">
        <v>404</v>
      </c>
      <c r="C21" s="771"/>
      <c r="D21" s="771"/>
      <c r="E21" s="771"/>
      <c r="F21" s="771"/>
      <c r="G21" s="771"/>
      <c r="H21" s="771"/>
      <c r="I21" s="771"/>
      <c r="J21" s="771"/>
      <c r="K21" s="771"/>
    </row>
    <row r="22" spans="1:13" x14ac:dyDescent="0.2">
      <c r="A22" s="232" t="s">
        <v>18</v>
      </c>
      <c r="B22" s="232"/>
      <c r="C22" s="402"/>
      <c r="D22" s="402"/>
      <c r="E22" s="402"/>
      <c r="F22" s="402"/>
      <c r="G22" s="402"/>
      <c r="H22" s="402"/>
      <c r="I22" s="402"/>
      <c r="J22" s="402"/>
      <c r="K22" s="402"/>
    </row>
    <row r="25" spans="1:13" ht="12.75" customHeight="1" x14ac:dyDescent="0.2">
      <c r="A25" s="116"/>
      <c r="B25" s="116"/>
      <c r="C25" s="116"/>
      <c r="D25" s="116"/>
      <c r="E25" s="116"/>
      <c r="F25" s="116"/>
    </row>
    <row r="26" spans="1:13" ht="12.75" customHeight="1" x14ac:dyDescent="0.2">
      <c r="A26" s="116" t="s">
        <v>11</v>
      </c>
      <c r="B26" s="116"/>
      <c r="C26" s="116"/>
      <c r="D26" s="116"/>
      <c r="E26" s="116"/>
      <c r="F26" s="116"/>
      <c r="G26" s="1187" t="s">
        <v>12</v>
      </c>
      <c r="H26" s="1187"/>
      <c r="I26" s="1187"/>
      <c r="J26" s="1187"/>
      <c r="K26" s="1187"/>
    </row>
    <row r="27" spans="1:13" ht="12.75" customHeight="1" x14ac:dyDescent="0.2">
      <c r="A27" s="116"/>
      <c r="B27" s="116"/>
      <c r="C27" s="116"/>
      <c r="D27" s="116"/>
      <c r="E27" s="116"/>
      <c r="F27" s="116"/>
      <c r="G27" s="1187" t="s">
        <v>13</v>
      </c>
      <c r="H27" s="1187"/>
      <c r="I27" s="1187"/>
      <c r="J27" s="1187"/>
      <c r="K27" s="1187"/>
    </row>
    <row r="28" spans="1:13" ht="12.75" customHeight="1" x14ac:dyDescent="0.2">
      <c r="F28" s="116"/>
      <c r="H28" s="117" t="s">
        <v>88</v>
      </c>
      <c r="I28" s="744"/>
      <c r="J28" s="744"/>
    </row>
    <row r="29" spans="1:13" x14ac:dyDescent="0.2">
      <c r="H29" s="118" t="s">
        <v>85</v>
      </c>
      <c r="I29" s="745"/>
      <c r="J29" s="745"/>
    </row>
  </sheetData>
  <mergeCells count="12">
    <mergeCell ref="K6:K7"/>
    <mergeCell ref="G26:K26"/>
    <mergeCell ref="G27:K27"/>
    <mergeCell ref="A1:H1"/>
    <mergeCell ref="A2:H2"/>
    <mergeCell ref="A6:A7"/>
    <mergeCell ref="B6:B7"/>
    <mergeCell ref="C6:E6"/>
    <mergeCell ref="F6:H6"/>
    <mergeCell ref="I6:I7"/>
    <mergeCell ref="J6:J7"/>
    <mergeCell ref="A4:K4"/>
  </mergeCells>
  <printOptions horizontalCentered="1"/>
  <pageMargins left="0.70866141732283472" right="0.70866141732283472" top="0.23622047244094491" bottom="0" header="0.31496062992125984" footer="0.31496062992125984"/>
  <pageSetup paperSize="9" scale="82"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C00000"/>
    <pageSetUpPr fitToPage="1"/>
  </sheetPr>
  <dimension ref="A1:L34"/>
  <sheetViews>
    <sheetView view="pageBreakPreview" topLeftCell="A16" zoomScale="80" zoomScaleNormal="85" zoomScaleSheetLayoutView="80" workbookViewId="0">
      <selection activeCell="D26" sqref="D26"/>
    </sheetView>
  </sheetViews>
  <sheetFormatPr defaultRowHeight="12.75" x14ac:dyDescent="0.2"/>
  <cols>
    <col min="1" max="1" width="7.42578125" customWidth="1"/>
    <col min="2" max="2" width="15" customWidth="1"/>
    <col min="3" max="3" width="16.28515625" customWidth="1"/>
    <col min="4" max="4" width="16.5703125" customWidth="1"/>
    <col min="5" max="5" width="14.28515625" customWidth="1"/>
    <col min="6" max="6" width="15.140625" customWidth="1"/>
    <col min="7" max="12" width="14.28515625" customWidth="1"/>
  </cols>
  <sheetData>
    <row r="1" spans="1:12" ht="15" x14ac:dyDescent="0.2">
      <c r="A1" s="56"/>
      <c r="B1" s="56"/>
      <c r="C1" s="56"/>
      <c r="D1" s="56"/>
      <c r="E1" s="56"/>
      <c r="F1" s="56"/>
      <c r="G1" s="56"/>
      <c r="H1" s="56"/>
      <c r="K1" s="1143" t="s">
        <v>89</v>
      </c>
      <c r="L1" s="1143"/>
    </row>
    <row r="2" spans="1:12" ht="15.75" x14ac:dyDescent="0.25">
      <c r="A2" s="1044" t="s">
        <v>0</v>
      </c>
      <c r="B2" s="1044"/>
      <c r="C2" s="1044"/>
      <c r="D2" s="1044"/>
      <c r="E2" s="1044"/>
      <c r="F2" s="1044"/>
      <c r="G2" s="1044"/>
      <c r="H2" s="1044"/>
      <c r="I2" s="1044"/>
      <c r="J2" s="1044"/>
      <c r="K2" s="1044"/>
      <c r="L2" s="1044"/>
    </row>
    <row r="3" spans="1:12" ht="15.75" x14ac:dyDescent="0.25">
      <c r="A3" s="1044" t="s">
        <v>794</v>
      </c>
      <c r="B3" s="1044"/>
      <c r="C3" s="1044"/>
      <c r="D3" s="1044"/>
      <c r="E3" s="1044"/>
      <c r="F3" s="1044"/>
      <c r="G3" s="1044"/>
      <c r="H3" s="1044"/>
      <c r="I3" s="1044"/>
      <c r="J3" s="1044"/>
      <c r="K3" s="1044"/>
      <c r="L3" s="1044"/>
    </row>
    <row r="4" spans="1:12" ht="20.25" x14ac:dyDescent="0.3">
      <c r="A4" s="1305" t="s">
        <v>832</v>
      </c>
      <c r="B4" s="1305"/>
      <c r="C4" s="1305"/>
      <c r="D4" s="1305"/>
      <c r="E4" s="1305"/>
      <c r="F4" s="1305"/>
      <c r="G4" s="1305"/>
      <c r="H4" s="1305"/>
      <c r="I4" s="1305"/>
      <c r="J4" s="1305"/>
      <c r="K4" s="1305"/>
      <c r="L4" s="1305"/>
    </row>
    <row r="5" spans="1:12" x14ac:dyDescent="0.2">
      <c r="A5" s="56"/>
      <c r="B5" s="56"/>
      <c r="C5" s="56"/>
      <c r="D5" s="56"/>
      <c r="E5" s="56"/>
      <c r="F5" s="56"/>
      <c r="G5" s="56"/>
      <c r="H5" s="56"/>
      <c r="I5" s="56"/>
      <c r="J5" s="56"/>
      <c r="K5" s="56"/>
      <c r="L5" s="56"/>
    </row>
    <row r="6" spans="1:12" x14ac:dyDescent="0.2">
      <c r="A6" s="1000" t="s">
        <v>463</v>
      </c>
      <c r="B6" s="1000"/>
      <c r="C6" s="1000"/>
      <c r="D6" s="56"/>
      <c r="E6" s="56"/>
      <c r="F6" s="56"/>
      <c r="G6" s="56"/>
      <c r="H6" s="620"/>
      <c r="I6" s="56"/>
      <c r="J6" s="56"/>
      <c r="K6" s="56"/>
      <c r="L6" s="56"/>
    </row>
    <row r="7" spans="1:12" ht="18" x14ac:dyDescent="0.25">
      <c r="A7" s="60"/>
      <c r="B7" s="60"/>
      <c r="C7" s="56"/>
      <c r="D7" s="56"/>
      <c r="E7" s="56"/>
      <c r="F7" s="56"/>
      <c r="G7" s="56"/>
      <c r="H7" s="56"/>
      <c r="I7" s="73"/>
      <c r="J7" s="82"/>
      <c r="K7" s="1098" t="s">
        <v>911</v>
      </c>
      <c r="L7" s="1098"/>
    </row>
    <row r="8" spans="1:12" ht="27.75" customHeight="1" x14ac:dyDescent="0.2">
      <c r="A8" s="1306" t="s">
        <v>244</v>
      </c>
      <c r="B8" s="1306" t="s">
        <v>243</v>
      </c>
      <c r="C8" s="1145" t="s">
        <v>537</v>
      </c>
      <c r="D8" s="1066" t="s">
        <v>538</v>
      </c>
      <c r="E8" s="1090" t="s">
        <v>242</v>
      </c>
      <c r="F8" s="1092"/>
      <c r="G8" s="1090" t="s">
        <v>539</v>
      </c>
      <c r="H8" s="1092"/>
      <c r="I8" s="1090" t="s">
        <v>252</v>
      </c>
      <c r="J8" s="1092"/>
      <c r="K8" s="1309" t="s">
        <v>254</v>
      </c>
      <c r="L8" s="1310"/>
    </row>
    <row r="9" spans="1:12" ht="38.25" x14ac:dyDescent="0.2">
      <c r="A9" s="1307"/>
      <c r="B9" s="1307"/>
      <c r="C9" s="1304"/>
      <c r="D9" s="1067"/>
      <c r="E9" s="241" t="s">
        <v>241</v>
      </c>
      <c r="F9" s="260" t="s">
        <v>216</v>
      </c>
      <c r="G9" s="241" t="s">
        <v>241</v>
      </c>
      <c r="H9" s="260" t="s">
        <v>216</v>
      </c>
      <c r="I9" s="241" t="s">
        <v>241</v>
      </c>
      <c r="J9" s="241" t="s">
        <v>216</v>
      </c>
      <c r="K9" s="195" t="s">
        <v>241</v>
      </c>
      <c r="L9" s="195" t="s">
        <v>216</v>
      </c>
    </row>
    <row r="10" spans="1:12" s="11" customFormat="1" x14ac:dyDescent="0.2">
      <c r="A10" s="272">
        <v>1</v>
      </c>
      <c r="B10" s="272">
        <v>2</v>
      </c>
      <c r="C10" s="272">
        <v>3</v>
      </c>
      <c r="D10" s="272">
        <v>4</v>
      </c>
      <c r="E10" s="272">
        <v>5</v>
      </c>
      <c r="F10" s="272">
        <v>6</v>
      </c>
      <c r="G10" s="272">
        <v>7</v>
      </c>
      <c r="H10" s="272">
        <v>8</v>
      </c>
      <c r="I10" s="272">
        <v>9</v>
      </c>
      <c r="J10" s="272">
        <v>10</v>
      </c>
      <c r="K10" s="272">
        <v>11</v>
      </c>
      <c r="L10" s="272">
        <v>12</v>
      </c>
    </row>
    <row r="11" spans="1:12" ht="35.1" customHeight="1" x14ac:dyDescent="0.2">
      <c r="A11" s="194">
        <v>1</v>
      </c>
      <c r="B11" s="375" t="s">
        <v>392</v>
      </c>
      <c r="C11" s="372">
        <v>1858</v>
      </c>
      <c r="D11" s="372">
        <v>73337</v>
      </c>
      <c r="E11" s="372">
        <v>1858</v>
      </c>
      <c r="F11" s="372">
        <v>73337</v>
      </c>
      <c r="G11" s="372">
        <v>1864</v>
      </c>
      <c r="H11" s="372">
        <v>48972</v>
      </c>
      <c r="I11" s="372">
        <v>1864</v>
      </c>
      <c r="J11" s="372">
        <v>48972</v>
      </c>
      <c r="K11" s="372">
        <v>1858</v>
      </c>
      <c r="L11" s="372">
        <v>716</v>
      </c>
    </row>
    <row r="12" spans="1:12" ht="35.1" customHeight="1" x14ac:dyDescent="0.2">
      <c r="A12" s="194">
        <v>2</v>
      </c>
      <c r="B12" s="375" t="s">
        <v>393</v>
      </c>
      <c r="C12" s="372">
        <v>991</v>
      </c>
      <c r="D12" s="372">
        <v>39635</v>
      </c>
      <c r="E12" s="627">
        <v>991</v>
      </c>
      <c r="F12" s="627">
        <v>39635</v>
      </c>
      <c r="G12" s="627">
        <v>819</v>
      </c>
      <c r="H12" s="627">
        <v>23915</v>
      </c>
      <c r="I12" s="627">
        <v>819</v>
      </c>
      <c r="J12" s="627">
        <v>23915</v>
      </c>
      <c r="K12" s="627">
        <v>991</v>
      </c>
      <c r="L12" s="372">
        <v>177</v>
      </c>
    </row>
    <row r="13" spans="1:12" ht="35.1" customHeight="1" x14ac:dyDescent="0.2">
      <c r="A13" s="194">
        <v>3</v>
      </c>
      <c r="B13" s="375" t="s">
        <v>394</v>
      </c>
      <c r="C13" s="372">
        <v>1396</v>
      </c>
      <c r="D13" s="372">
        <v>50318</v>
      </c>
      <c r="E13" s="372">
        <v>1396</v>
      </c>
      <c r="F13" s="372">
        <v>50318</v>
      </c>
      <c r="G13" s="372">
        <v>1406</v>
      </c>
      <c r="H13" s="372">
        <v>37211</v>
      </c>
      <c r="I13" s="372">
        <v>1406</v>
      </c>
      <c r="J13" s="372">
        <v>37211</v>
      </c>
      <c r="K13" s="372">
        <v>1396</v>
      </c>
      <c r="L13" s="372">
        <v>171</v>
      </c>
    </row>
    <row r="14" spans="1:12" ht="35.1" customHeight="1" x14ac:dyDescent="0.2">
      <c r="A14" s="194">
        <v>4</v>
      </c>
      <c r="B14" s="375" t="s">
        <v>395</v>
      </c>
      <c r="C14" s="372">
        <v>1117</v>
      </c>
      <c r="D14" s="372">
        <v>32226</v>
      </c>
      <c r="E14" s="372">
        <v>1117</v>
      </c>
      <c r="F14" s="372">
        <v>32226</v>
      </c>
      <c r="G14" s="372">
        <v>714</v>
      </c>
      <c r="H14" s="372">
        <v>24475</v>
      </c>
      <c r="I14" s="372">
        <v>714</v>
      </c>
      <c r="J14" s="372">
        <v>24475</v>
      </c>
      <c r="K14" s="372">
        <v>1117</v>
      </c>
      <c r="L14" s="372">
        <v>183</v>
      </c>
    </row>
    <row r="15" spans="1:12" ht="35.1" customHeight="1" x14ac:dyDescent="0.2">
      <c r="A15" s="194">
        <v>5</v>
      </c>
      <c r="B15" s="376" t="s">
        <v>396</v>
      </c>
      <c r="C15" s="372">
        <v>1457</v>
      </c>
      <c r="D15" s="372">
        <v>80112</v>
      </c>
      <c r="E15" s="372">
        <v>1457</v>
      </c>
      <c r="F15" s="372">
        <v>80112</v>
      </c>
      <c r="G15" s="372">
        <v>1442</v>
      </c>
      <c r="H15" s="372">
        <v>76914</v>
      </c>
      <c r="I15" s="372">
        <v>1442</v>
      </c>
      <c r="J15" s="372">
        <v>76914</v>
      </c>
      <c r="K15" s="372">
        <v>1457</v>
      </c>
      <c r="L15" s="372">
        <v>159</v>
      </c>
    </row>
    <row r="16" spans="1:12" ht="35.1" customHeight="1" x14ac:dyDescent="0.2">
      <c r="A16" s="194">
        <v>6</v>
      </c>
      <c r="B16" s="375" t="s">
        <v>397</v>
      </c>
      <c r="C16" s="372">
        <v>981</v>
      </c>
      <c r="D16" s="372">
        <v>105179</v>
      </c>
      <c r="E16" s="372">
        <v>981</v>
      </c>
      <c r="F16" s="372">
        <v>105179</v>
      </c>
      <c r="G16" s="372">
        <v>1086</v>
      </c>
      <c r="H16" s="372">
        <v>152840</v>
      </c>
      <c r="I16" s="372">
        <v>1086</v>
      </c>
      <c r="J16" s="372">
        <v>152840</v>
      </c>
      <c r="K16" s="372">
        <v>981</v>
      </c>
      <c r="L16" s="372">
        <v>864</v>
      </c>
    </row>
    <row r="17" spans="1:12" ht="35.1" customHeight="1" x14ac:dyDescent="0.2">
      <c r="A17" s="194">
        <v>7</v>
      </c>
      <c r="B17" s="376" t="s">
        <v>398</v>
      </c>
      <c r="C17" s="372">
        <v>1703</v>
      </c>
      <c r="D17" s="372">
        <v>89570</v>
      </c>
      <c r="E17" s="372">
        <v>1703</v>
      </c>
      <c r="F17" s="372">
        <v>89570</v>
      </c>
      <c r="G17" s="372">
        <v>1427</v>
      </c>
      <c r="H17" s="372">
        <v>64856</v>
      </c>
      <c r="I17" s="372">
        <v>1427</v>
      </c>
      <c r="J17" s="372">
        <v>64856</v>
      </c>
      <c r="K17" s="372">
        <v>1703</v>
      </c>
      <c r="L17" s="372">
        <v>556</v>
      </c>
    </row>
    <row r="18" spans="1:12" ht="35.1" customHeight="1" x14ac:dyDescent="0.2">
      <c r="A18" s="194">
        <v>8</v>
      </c>
      <c r="B18" s="375" t="s">
        <v>399</v>
      </c>
      <c r="C18" s="372">
        <v>2200</v>
      </c>
      <c r="D18" s="372">
        <v>69216</v>
      </c>
      <c r="E18" s="372">
        <v>2200</v>
      </c>
      <c r="F18" s="372">
        <v>69216</v>
      </c>
      <c r="G18" s="372">
        <v>2224</v>
      </c>
      <c r="H18" s="372">
        <v>49617</v>
      </c>
      <c r="I18" s="372">
        <v>2224</v>
      </c>
      <c r="J18" s="372">
        <v>49617</v>
      </c>
      <c r="K18" s="372">
        <v>2200</v>
      </c>
      <c r="L18" s="372">
        <v>440</v>
      </c>
    </row>
    <row r="19" spans="1:12" ht="35.1" customHeight="1" x14ac:dyDescent="0.2">
      <c r="A19" s="194">
        <v>9</v>
      </c>
      <c r="B19" s="375" t="s">
        <v>400</v>
      </c>
      <c r="C19" s="372">
        <v>1789</v>
      </c>
      <c r="D19" s="372">
        <v>56691</v>
      </c>
      <c r="E19" s="372">
        <v>1789</v>
      </c>
      <c r="F19" s="372">
        <v>56691</v>
      </c>
      <c r="G19" s="372">
        <v>1559</v>
      </c>
      <c r="H19" s="372">
        <v>36685</v>
      </c>
      <c r="I19" s="372">
        <v>1559</v>
      </c>
      <c r="J19" s="372">
        <v>36685</v>
      </c>
      <c r="K19" s="372">
        <v>1789</v>
      </c>
      <c r="L19" s="372">
        <v>160</v>
      </c>
    </row>
    <row r="20" spans="1:12" ht="35.1" customHeight="1" x14ac:dyDescent="0.2">
      <c r="A20" s="194">
        <v>10</v>
      </c>
      <c r="B20" s="375" t="s">
        <v>401</v>
      </c>
      <c r="C20" s="372">
        <v>870</v>
      </c>
      <c r="D20" s="372">
        <v>36625</v>
      </c>
      <c r="E20" s="372">
        <v>870</v>
      </c>
      <c r="F20" s="372">
        <v>36625</v>
      </c>
      <c r="G20" s="372">
        <v>814</v>
      </c>
      <c r="H20" s="372">
        <v>24407</v>
      </c>
      <c r="I20" s="372">
        <v>814</v>
      </c>
      <c r="J20" s="372">
        <v>24407</v>
      </c>
      <c r="K20" s="372">
        <v>870</v>
      </c>
      <c r="L20" s="372">
        <v>62</v>
      </c>
    </row>
    <row r="21" spans="1:12" ht="35.1" customHeight="1" x14ac:dyDescent="0.2">
      <c r="A21" s="194">
        <v>11</v>
      </c>
      <c r="B21" s="375" t="s">
        <v>402</v>
      </c>
      <c r="C21" s="372">
        <v>2024</v>
      </c>
      <c r="D21" s="372">
        <v>77036</v>
      </c>
      <c r="E21" s="372">
        <v>2024</v>
      </c>
      <c r="F21" s="372">
        <v>77036</v>
      </c>
      <c r="G21" s="372">
        <v>1988</v>
      </c>
      <c r="H21" s="372">
        <v>58261</v>
      </c>
      <c r="I21" s="372">
        <v>1988</v>
      </c>
      <c r="J21" s="372">
        <v>58261</v>
      </c>
      <c r="K21" s="372">
        <v>2024</v>
      </c>
      <c r="L21" s="372">
        <v>498</v>
      </c>
    </row>
    <row r="22" spans="1:12" ht="35.1" customHeight="1" x14ac:dyDescent="0.2">
      <c r="A22" s="194">
        <v>12</v>
      </c>
      <c r="B22" s="375" t="s">
        <v>403</v>
      </c>
      <c r="C22" s="372">
        <v>1497</v>
      </c>
      <c r="D22" s="372">
        <v>145687</v>
      </c>
      <c r="E22" s="372">
        <v>1497</v>
      </c>
      <c r="F22" s="372">
        <v>145687</v>
      </c>
      <c r="G22" s="372">
        <v>1255</v>
      </c>
      <c r="H22" s="372">
        <v>124210</v>
      </c>
      <c r="I22" s="372">
        <v>1255</v>
      </c>
      <c r="J22" s="372">
        <v>124210</v>
      </c>
      <c r="K22" s="372">
        <v>1497</v>
      </c>
      <c r="L22" s="372">
        <v>513</v>
      </c>
    </row>
    <row r="23" spans="1:12" ht="35.1" customHeight="1" x14ac:dyDescent="0.2">
      <c r="A23" s="194">
        <v>13</v>
      </c>
      <c r="B23" s="375" t="s">
        <v>404</v>
      </c>
      <c r="C23" s="372">
        <v>1133</v>
      </c>
      <c r="D23" s="372">
        <v>40902</v>
      </c>
      <c r="E23" s="372">
        <v>1133</v>
      </c>
      <c r="F23" s="372">
        <v>40902</v>
      </c>
      <c r="G23" s="372">
        <v>1066</v>
      </c>
      <c r="H23" s="372">
        <v>31520</v>
      </c>
      <c r="I23" s="372">
        <v>1066</v>
      </c>
      <c r="J23" s="372">
        <v>31520</v>
      </c>
      <c r="K23" s="372">
        <v>1133</v>
      </c>
      <c r="L23" s="372">
        <v>163</v>
      </c>
    </row>
    <row r="24" spans="1:12" s="11" customFormat="1" ht="35.1" customHeight="1" x14ac:dyDescent="0.2">
      <c r="A24" s="232" t="s">
        <v>18</v>
      </c>
      <c r="B24" s="232"/>
      <c r="C24" s="374">
        <f t="shared" ref="C24:L24" si="0">SUM(C11:C23)</f>
        <v>19016</v>
      </c>
      <c r="D24" s="374">
        <f t="shared" si="0"/>
        <v>896534</v>
      </c>
      <c r="E24" s="374">
        <f t="shared" si="0"/>
        <v>19016</v>
      </c>
      <c r="F24" s="374">
        <f t="shared" si="0"/>
        <v>896534</v>
      </c>
      <c r="G24" s="374">
        <f t="shared" si="0"/>
        <v>17664</v>
      </c>
      <c r="H24" s="374">
        <f t="shared" si="0"/>
        <v>753883</v>
      </c>
      <c r="I24" s="374">
        <f t="shared" si="0"/>
        <v>17664</v>
      </c>
      <c r="J24" s="374">
        <f t="shared" si="0"/>
        <v>753883</v>
      </c>
      <c r="K24" s="374">
        <f t="shared" si="0"/>
        <v>19016</v>
      </c>
      <c r="L24" s="374">
        <f t="shared" si="0"/>
        <v>4662</v>
      </c>
    </row>
    <row r="25" spans="1:12" x14ac:dyDescent="0.2">
      <c r="A25" s="61"/>
      <c r="B25" s="61"/>
      <c r="C25" s="56"/>
      <c r="D25" s="56"/>
      <c r="E25" s="56"/>
      <c r="F25" s="56"/>
      <c r="G25" s="56"/>
      <c r="H25" s="56"/>
      <c r="I25" s="56"/>
      <c r="J25" s="56"/>
      <c r="K25" s="56"/>
      <c r="L25" s="56"/>
    </row>
    <row r="26" spans="1:12" x14ac:dyDescent="0.2">
      <c r="A26" s="56"/>
      <c r="B26" s="56"/>
      <c r="C26" s="56"/>
      <c r="D26" s="56"/>
      <c r="E26" s="56"/>
      <c r="F26" s="56"/>
      <c r="G26" s="56"/>
      <c r="H26" s="56"/>
      <c r="I26" s="56"/>
      <c r="J26" s="56"/>
      <c r="K26" s="56"/>
      <c r="L26" s="56"/>
    </row>
    <row r="27" spans="1:12" x14ac:dyDescent="0.2">
      <c r="A27" s="56"/>
      <c r="B27" s="56"/>
      <c r="C27" s="56"/>
      <c r="D27" s="56"/>
      <c r="E27" s="56"/>
      <c r="F27" s="56"/>
      <c r="G27" s="56"/>
      <c r="H27" s="56"/>
      <c r="I27" s="56"/>
      <c r="J27" s="56"/>
      <c r="K27" s="56"/>
      <c r="L27" s="56"/>
    </row>
    <row r="29" spans="1:12" x14ac:dyDescent="0.2">
      <c r="A29" s="1089"/>
      <c r="B29" s="1089"/>
      <c r="C29" s="1089"/>
      <c r="D29" s="1089"/>
      <c r="E29" s="1089"/>
      <c r="F29" s="1089"/>
      <c r="G29" s="1089"/>
      <c r="H29" s="1089"/>
      <c r="I29" s="1089"/>
      <c r="J29" s="1089"/>
      <c r="K29" s="1089"/>
      <c r="L29" s="1089"/>
    </row>
    <row r="30" spans="1:12" x14ac:dyDescent="0.2">
      <c r="A30" s="56"/>
      <c r="B30" s="56"/>
      <c r="C30" s="56"/>
      <c r="D30" s="56"/>
      <c r="E30" s="56"/>
      <c r="F30" s="56"/>
      <c r="G30" s="56"/>
      <c r="H30" s="56"/>
      <c r="I30" s="56"/>
      <c r="J30" s="56"/>
      <c r="K30" s="56"/>
      <c r="L30" s="56"/>
    </row>
    <row r="31" spans="1:12" ht="15.75" customHeight="1" x14ac:dyDescent="0.25">
      <c r="A31" s="64" t="s">
        <v>11</v>
      </c>
      <c r="B31" s="64"/>
      <c r="C31" s="64"/>
      <c r="D31" s="64"/>
      <c r="E31" s="64"/>
      <c r="F31" s="64"/>
      <c r="G31" s="64"/>
      <c r="H31" s="64"/>
      <c r="I31" s="85"/>
      <c r="J31" s="1308" t="s">
        <v>12</v>
      </c>
      <c r="K31" s="1308"/>
      <c r="L31" s="56"/>
    </row>
    <row r="32" spans="1:12" ht="15.75" customHeight="1" x14ac:dyDescent="0.2">
      <c r="A32" s="1024" t="s">
        <v>13</v>
      </c>
      <c r="B32" s="1024"/>
      <c r="C32" s="1024"/>
      <c r="D32" s="1024"/>
      <c r="E32" s="1024"/>
      <c r="F32" s="1024"/>
      <c r="G32" s="1024"/>
      <c r="H32" s="1024"/>
      <c r="I32" s="1024"/>
      <c r="J32" s="1024"/>
      <c r="K32" s="1024"/>
      <c r="L32" s="1024"/>
    </row>
    <row r="33" spans="1:12" ht="15.75" customHeight="1" x14ac:dyDescent="0.2">
      <c r="A33" s="1024" t="s">
        <v>14</v>
      </c>
      <c r="B33" s="1024"/>
      <c r="C33" s="1024"/>
      <c r="D33" s="1024"/>
      <c r="E33" s="1024"/>
      <c r="F33" s="1024"/>
      <c r="G33" s="1024"/>
      <c r="H33" s="1024"/>
      <c r="I33" s="1024"/>
      <c r="J33" s="1024"/>
      <c r="K33" s="1024"/>
      <c r="L33" s="1024"/>
    </row>
    <row r="34" spans="1:12" ht="15.75" customHeight="1" x14ac:dyDescent="0.25">
      <c r="A34" s="56"/>
      <c r="B34" s="56"/>
      <c r="C34" s="56"/>
      <c r="D34" s="56"/>
      <c r="E34" s="56"/>
      <c r="F34" s="56"/>
      <c r="J34" s="70" t="s">
        <v>85</v>
      </c>
      <c r="K34" s="24"/>
      <c r="L34" s="24"/>
    </row>
  </sheetData>
  <mergeCells count="19">
    <mergeCell ref="A33:L33"/>
    <mergeCell ref="J31:K31"/>
    <mergeCell ref="I29:L29"/>
    <mergeCell ref="A29:H29"/>
    <mergeCell ref="K8:L8"/>
    <mergeCell ref="D8:D9"/>
    <mergeCell ref="A32:L32"/>
    <mergeCell ref="A6:C6"/>
    <mergeCell ref="C8:C9"/>
    <mergeCell ref="A4:L4"/>
    <mergeCell ref="E8:F8"/>
    <mergeCell ref="K1:L1"/>
    <mergeCell ref="K7:L7"/>
    <mergeCell ref="G8:H8"/>
    <mergeCell ref="A3:L3"/>
    <mergeCell ref="A2:L2"/>
    <mergeCell ref="A8:A9"/>
    <mergeCell ref="B8:B9"/>
    <mergeCell ref="I8:J8"/>
  </mergeCells>
  <printOptions horizontalCentered="1"/>
  <pageMargins left="0.53" right="0.35" top="0.23622047244094491" bottom="0" header="0.31496062992125984" footer="0.31496062992125984"/>
  <pageSetup paperSize="9" scale="71" orientation="landscape" r:id="rId1"/>
  <colBreaks count="1" manualBreakCount="1">
    <brk id="12" max="37"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C00000"/>
    <pageSetUpPr fitToPage="1"/>
  </sheetPr>
  <dimension ref="A2:H34"/>
  <sheetViews>
    <sheetView view="pageBreakPreview" topLeftCell="A5" zoomScale="91" zoomScaleSheetLayoutView="91" workbookViewId="0">
      <selection activeCell="H14" sqref="H14"/>
    </sheetView>
  </sheetViews>
  <sheetFormatPr defaultColWidth="8.85546875" defaultRowHeight="12.75" x14ac:dyDescent="0.2"/>
  <cols>
    <col min="1" max="1" width="7.85546875" style="56" customWidth="1"/>
    <col min="2" max="2" width="25.85546875" style="56" customWidth="1"/>
    <col min="3" max="3" width="21.7109375" style="56" customWidth="1"/>
    <col min="4" max="4" width="23.85546875" style="56" customWidth="1"/>
    <col min="5" max="5" width="24.42578125" style="56" customWidth="1"/>
    <col min="6" max="6" width="27" style="56" customWidth="1"/>
    <col min="7" max="16384" width="8.85546875" style="56"/>
  </cols>
  <sheetData>
    <row r="2" spans="1:8" ht="16.5" customHeight="1" x14ac:dyDescent="0.2">
      <c r="D2" s="57"/>
      <c r="E2" s="57"/>
      <c r="F2" s="309" t="s">
        <v>105</v>
      </c>
    </row>
    <row r="3" spans="1:8" ht="15" customHeight="1" x14ac:dyDescent="0.25">
      <c r="A3" s="1044" t="s">
        <v>0</v>
      </c>
      <c r="B3" s="1044"/>
      <c r="C3" s="1044"/>
      <c r="D3" s="1044"/>
      <c r="E3" s="1044"/>
      <c r="F3" s="1044"/>
    </row>
    <row r="4" spans="1:8" ht="15.75" x14ac:dyDescent="0.25">
      <c r="A4" s="1044" t="s">
        <v>794</v>
      </c>
      <c r="B4" s="1044"/>
      <c r="C4" s="1044"/>
      <c r="D4" s="1044"/>
      <c r="E4" s="1044"/>
      <c r="F4" s="1044"/>
    </row>
    <row r="5" spans="1:8" s="191" customFormat="1" ht="39" customHeight="1" x14ac:dyDescent="0.25">
      <c r="A5" s="1317" t="s">
        <v>527</v>
      </c>
      <c r="B5" s="1317"/>
      <c r="C5" s="1317"/>
      <c r="D5" s="1317"/>
      <c r="E5" s="1317"/>
      <c r="F5" s="1317"/>
    </row>
    <row r="6" spans="1:8" ht="18" customHeight="1" x14ac:dyDescent="0.2">
      <c r="A6" s="1000" t="s">
        <v>463</v>
      </c>
      <c r="B6" s="1000"/>
      <c r="C6" s="1000"/>
    </row>
    <row r="7" spans="1:8" ht="18" hidden="1" customHeight="1" x14ac:dyDescent="0.25">
      <c r="A7" s="60" t="s">
        <v>1</v>
      </c>
    </row>
    <row r="8" spans="1:8" ht="30.6" customHeight="1" x14ac:dyDescent="0.2">
      <c r="A8" s="1312" t="s">
        <v>2</v>
      </c>
      <c r="B8" s="1312" t="s">
        <v>3</v>
      </c>
      <c r="C8" s="1314" t="s">
        <v>528</v>
      </c>
      <c r="D8" s="1315"/>
      <c r="E8" s="1316" t="s">
        <v>531</v>
      </c>
      <c r="F8" s="1316"/>
    </row>
    <row r="9" spans="1:8" s="65" customFormat="1" ht="25.5" x14ac:dyDescent="0.2">
      <c r="A9" s="1313"/>
      <c r="B9" s="1313"/>
      <c r="C9" s="308" t="s">
        <v>529</v>
      </c>
      <c r="D9" s="308" t="s">
        <v>530</v>
      </c>
      <c r="E9" s="308" t="s">
        <v>529</v>
      </c>
      <c r="F9" s="308" t="s">
        <v>530</v>
      </c>
      <c r="G9" s="76"/>
      <c r="H9" s="76"/>
    </row>
    <row r="10" spans="1:8" s="98" customFormat="1" x14ac:dyDescent="0.2">
      <c r="A10" s="273">
        <v>1</v>
      </c>
      <c r="B10" s="273">
        <v>2</v>
      </c>
      <c r="C10" s="273">
        <v>3</v>
      </c>
      <c r="D10" s="273">
        <v>4</v>
      </c>
      <c r="E10" s="273">
        <v>5</v>
      </c>
      <c r="F10" s="273">
        <v>6</v>
      </c>
    </row>
    <row r="11" spans="1:8" ht="24.95" customHeight="1" x14ac:dyDescent="0.2">
      <c r="A11" s="194">
        <v>1</v>
      </c>
      <c r="B11" s="225" t="s">
        <v>392</v>
      </c>
      <c r="C11" s="275">
        <v>1371</v>
      </c>
      <c r="D11" s="274">
        <f>C11</f>
        <v>1371</v>
      </c>
      <c r="E11" s="275">
        <v>493</v>
      </c>
      <c r="F11" s="274">
        <f>E11</f>
        <v>493</v>
      </c>
    </row>
    <row r="12" spans="1:8" ht="24.95" customHeight="1" x14ac:dyDescent="0.2">
      <c r="A12" s="194">
        <v>2</v>
      </c>
      <c r="B12" s="225" t="s">
        <v>393</v>
      </c>
      <c r="C12" s="275">
        <v>594</v>
      </c>
      <c r="D12" s="274">
        <f t="shared" ref="D12:D23" si="0">C12</f>
        <v>594</v>
      </c>
      <c r="E12" s="275">
        <v>225</v>
      </c>
      <c r="F12" s="274">
        <f t="shared" ref="F12:F23" si="1">E12</f>
        <v>225</v>
      </c>
    </row>
    <row r="13" spans="1:8" ht="24.95" customHeight="1" x14ac:dyDescent="0.2">
      <c r="A13" s="194">
        <v>3</v>
      </c>
      <c r="B13" s="225" t="s">
        <v>394</v>
      </c>
      <c r="C13" s="275">
        <v>979</v>
      </c>
      <c r="D13" s="274">
        <f t="shared" si="0"/>
        <v>979</v>
      </c>
      <c r="E13" s="275">
        <v>427</v>
      </c>
      <c r="F13" s="274">
        <f t="shared" si="1"/>
        <v>427</v>
      </c>
    </row>
    <row r="14" spans="1:8" ht="24.95" customHeight="1" x14ac:dyDescent="0.2">
      <c r="A14" s="194">
        <v>4</v>
      </c>
      <c r="B14" s="225" t="s">
        <v>395</v>
      </c>
      <c r="C14" s="275">
        <v>512</v>
      </c>
      <c r="D14" s="274">
        <f t="shared" si="0"/>
        <v>512</v>
      </c>
      <c r="E14" s="275">
        <v>202</v>
      </c>
      <c r="F14" s="274">
        <f t="shared" si="1"/>
        <v>202</v>
      </c>
    </row>
    <row r="15" spans="1:8" ht="24.95" customHeight="1" x14ac:dyDescent="0.2">
      <c r="A15" s="194">
        <v>5</v>
      </c>
      <c r="B15" s="227" t="s">
        <v>396</v>
      </c>
      <c r="C15" s="275">
        <v>969</v>
      </c>
      <c r="D15" s="274">
        <f t="shared" si="0"/>
        <v>969</v>
      </c>
      <c r="E15" s="275">
        <v>473</v>
      </c>
      <c r="F15" s="274">
        <f t="shared" si="1"/>
        <v>473</v>
      </c>
    </row>
    <row r="16" spans="1:8" ht="24.95" customHeight="1" x14ac:dyDescent="0.2">
      <c r="A16" s="194">
        <v>6</v>
      </c>
      <c r="B16" s="225" t="s">
        <v>397</v>
      </c>
      <c r="C16" s="275">
        <v>759</v>
      </c>
      <c r="D16" s="274">
        <f t="shared" si="0"/>
        <v>759</v>
      </c>
      <c r="E16" s="275">
        <v>327</v>
      </c>
      <c r="F16" s="274">
        <f t="shared" si="1"/>
        <v>327</v>
      </c>
    </row>
    <row r="17" spans="1:7" ht="24.95" customHeight="1" x14ac:dyDescent="0.2">
      <c r="A17" s="194">
        <v>7</v>
      </c>
      <c r="B17" s="227" t="s">
        <v>398</v>
      </c>
      <c r="C17" s="275">
        <v>974</v>
      </c>
      <c r="D17" s="274">
        <f t="shared" si="0"/>
        <v>974</v>
      </c>
      <c r="E17" s="275">
        <v>453</v>
      </c>
      <c r="F17" s="274">
        <f t="shared" si="1"/>
        <v>453</v>
      </c>
    </row>
    <row r="18" spans="1:7" ht="24.95" customHeight="1" x14ac:dyDescent="0.2">
      <c r="A18" s="194">
        <v>8</v>
      </c>
      <c r="B18" s="225" t="s">
        <v>399</v>
      </c>
      <c r="C18" s="275">
        <v>1555</v>
      </c>
      <c r="D18" s="274">
        <f t="shared" si="0"/>
        <v>1555</v>
      </c>
      <c r="E18" s="275">
        <v>669</v>
      </c>
      <c r="F18" s="274">
        <f t="shared" si="1"/>
        <v>669</v>
      </c>
    </row>
    <row r="19" spans="1:7" ht="24.95" customHeight="1" x14ac:dyDescent="0.2">
      <c r="A19" s="194">
        <v>9</v>
      </c>
      <c r="B19" s="225" t="s">
        <v>400</v>
      </c>
      <c r="C19" s="275">
        <v>1112</v>
      </c>
      <c r="D19" s="274">
        <f t="shared" si="0"/>
        <v>1112</v>
      </c>
      <c r="E19" s="275">
        <v>447</v>
      </c>
      <c r="F19" s="274">
        <f t="shared" si="1"/>
        <v>447</v>
      </c>
    </row>
    <row r="20" spans="1:7" ht="24.95" customHeight="1" x14ac:dyDescent="0.2">
      <c r="A20" s="194">
        <v>10</v>
      </c>
      <c r="B20" s="225" t="s">
        <v>401</v>
      </c>
      <c r="C20" s="275">
        <v>550</v>
      </c>
      <c r="D20" s="274">
        <f t="shared" si="0"/>
        <v>550</v>
      </c>
      <c r="E20" s="275">
        <v>264</v>
      </c>
      <c r="F20" s="274">
        <f t="shared" si="1"/>
        <v>264</v>
      </c>
    </row>
    <row r="21" spans="1:7" ht="24.95" customHeight="1" x14ac:dyDescent="0.2">
      <c r="A21" s="194">
        <v>11</v>
      </c>
      <c r="B21" s="225" t="s">
        <v>402</v>
      </c>
      <c r="C21" s="275">
        <v>1394</v>
      </c>
      <c r="D21" s="274">
        <f t="shared" si="0"/>
        <v>1394</v>
      </c>
      <c r="E21" s="275">
        <v>594</v>
      </c>
      <c r="F21" s="274">
        <f t="shared" si="1"/>
        <v>594</v>
      </c>
    </row>
    <row r="22" spans="1:7" ht="24.95" customHeight="1" x14ac:dyDescent="0.2">
      <c r="A22" s="194">
        <v>12</v>
      </c>
      <c r="B22" s="225" t="s">
        <v>403</v>
      </c>
      <c r="C22" s="275">
        <v>850</v>
      </c>
      <c r="D22" s="274">
        <f t="shared" si="0"/>
        <v>850</v>
      </c>
      <c r="E22" s="275">
        <v>405</v>
      </c>
      <c r="F22" s="274">
        <f t="shared" si="1"/>
        <v>405</v>
      </c>
    </row>
    <row r="23" spans="1:7" ht="24.95" customHeight="1" x14ac:dyDescent="0.2">
      <c r="A23" s="194">
        <v>13</v>
      </c>
      <c r="B23" s="225" t="s">
        <v>404</v>
      </c>
      <c r="C23" s="275">
        <v>737</v>
      </c>
      <c r="D23" s="274">
        <f t="shared" si="0"/>
        <v>737</v>
      </c>
      <c r="E23" s="275">
        <v>329</v>
      </c>
      <c r="F23" s="274">
        <f t="shared" si="1"/>
        <v>329</v>
      </c>
    </row>
    <row r="24" spans="1:7" s="65" customFormat="1" ht="24.95" customHeight="1" x14ac:dyDescent="0.2">
      <c r="A24" s="232" t="s">
        <v>18</v>
      </c>
      <c r="B24" s="232"/>
      <c r="C24" s="232">
        <f>SUM(C11:C23)</f>
        <v>12356</v>
      </c>
      <c r="D24" s="232">
        <f>SUM(D11:D23)</f>
        <v>12356</v>
      </c>
      <c r="E24" s="232">
        <f>SUM(E11:E23)</f>
        <v>5308</v>
      </c>
      <c r="F24" s="232">
        <f>SUM(F11:F23)</f>
        <v>5308</v>
      </c>
      <c r="G24" s="76"/>
    </row>
    <row r="25" spans="1:7" x14ac:dyDescent="0.2">
      <c r="A25" s="62"/>
      <c r="B25" s="63"/>
      <c r="C25" s="63"/>
      <c r="D25" s="63"/>
      <c r="E25" s="63"/>
      <c r="F25" s="63"/>
    </row>
    <row r="26" spans="1:7" x14ac:dyDescent="0.2">
      <c r="A26" s="61" t="s">
        <v>7</v>
      </c>
    </row>
    <row r="27" spans="1:7" x14ac:dyDescent="0.2">
      <c r="A27" s="56" t="s">
        <v>8</v>
      </c>
    </row>
    <row r="28" spans="1:7" x14ac:dyDescent="0.2">
      <c r="A28" s="56" t="s">
        <v>9</v>
      </c>
    </row>
    <row r="29" spans="1:7" x14ac:dyDescent="0.2">
      <c r="C29" s="56" t="s">
        <v>10</v>
      </c>
    </row>
    <row r="30" spans="1:7" ht="15.75" customHeight="1" x14ac:dyDescent="0.25">
      <c r="A30" s="143" t="s">
        <v>11</v>
      </c>
      <c r="B30" s="64"/>
      <c r="C30" s="11"/>
      <c r="D30" s="11"/>
      <c r="F30" s="509" t="s">
        <v>12</v>
      </c>
    </row>
    <row r="31" spans="1:7" ht="15.6" customHeight="1" x14ac:dyDescent="0.2">
      <c r="B31" s="85"/>
      <c r="C31" s="24"/>
      <c r="E31" s="985" t="s">
        <v>13</v>
      </c>
      <c r="F31" s="985"/>
    </row>
    <row r="32" spans="1:7" ht="15.75" customHeight="1" x14ac:dyDescent="0.2">
      <c r="B32" s="85"/>
      <c r="D32" s="24"/>
      <c r="E32" s="985" t="s">
        <v>88</v>
      </c>
      <c r="F32" s="985"/>
    </row>
    <row r="33" spans="1:6" x14ac:dyDescent="0.2">
      <c r="C33" s="11"/>
      <c r="D33" s="11"/>
      <c r="E33" s="1" t="s">
        <v>85</v>
      </c>
      <c r="F33" s="11"/>
    </row>
    <row r="34" spans="1:6" x14ac:dyDescent="0.2">
      <c r="A34" s="1311"/>
      <c r="B34" s="1311"/>
      <c r="C34" s="1311"/>
      <c r="D34" s="1311"/>
      <c r="E34" s="1311"/>
      <c r="F34" s="1311"/>
    </row>
  </sheetData>
  <mergeCells count="11">
    <mergeCell ref="A6:C6"/>
    <mergeCell ref="E31:F31"/>
    <mergeCell ref="E32:F32"/>
    <mergeCell ref="A5:F5"/>
    <mergeCell ref="A3:F3"/>
    <mergeCell ref="A4:F4"/>
    <mergeCell ref="A34:F34"/>
    <mergeCell ref="A8:A9"/>
    <mergeCell ref="B8:B9"/>
    <mergeCell ref="C8:D8"/>
    <mergeCell ref="E8:F8"/>
  </mergeCells>
  <phoneticPr fontId="0" type="noConversion"/>
  <printOptions horizontalCentered="1"/>
  <pageMargins left="0.70866141732283505" right="0.70866141732283505" top="0.23622047244094499" bottom="0" header="0.41" footer="0.22"/>
  <pageSetup paperSize="9" scale="88"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00000"/>
    <pageSetUpPr fitToPage="1"/>
  </sheetPr>
  <dimension ref="A1:W37"/>
  <sheetViews>
    <sheetView view="pageBreakPreview" topLeftCell="A10" zoomScale="120" zoomScaleNormal="85" zoomScaleSheetLayoutView="120" workbookViewId="0">
      <selection activeCell="E29" sqref="E29:J29"/>
    </sheetView>
  </sheetViews>
  <sheetFormatPr defaultRowHeight="12.75" x14ac:dyDescent="0.2"/>
  <cols>
    <col min="2" max="2" width="13.14062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23" ht="15" x14ac:dyDescent="0.2">
      <c r="A1" s="56"/>
      <c r="B1" s="56"/>
      <c r="C1" s="56"/>
      <c r="D1" s="1161"/>
      <c r="E1" s="1161"/>
      <c r="F1" s="31"/>
      <c r="G1" s="1083" t="s">
        <v>474</v>
      </c>
      <c r="H1" s="1083"/>
      <c r="I1" s="1083"/>
      <c r="J1" s="1083"/>
      <c r="K1" s="66"/>
      <c r="L1" s="56"/>
      <c r="M1" s="56"/>
    </row>
    <row r="2" spans="1:23" ht="15.75" x14ac:dyDescent="0.25">
      <c r="A2" s="1044" t="s">
        <v>0</v>
      </c>
      <c r="B2" s="1044"/>
      <c r="C2" s="1044"/>
      <c r="D2" s="1044"/>
      <c r="E2" s="1044"/>
      <c r="F2" s="1044"/>
      <c r="G2" s="1044"/>
      <c r="H2" s="1044"/>
      <c r="I2" s="1044"/>
      <c r="J2" s="1044"/>
      <c r="K2" s="56"/>
      <c r="L2" s="56"/>
      <c r="M2" s="56"/>
    </row>
    <row r="3" spans="1:23" ht="15.75" x14ac:dyDescent="0.25">
      <c r="A3" s="1324" t="s">
        <v>794</v>
      </c>
      <c r="B3" s="1324"/>
      <c r="C3" s="1324"/>
      <c r="D3" s="1324"/>
      <c r="E3" s="1324"/>
      <c r="F3" s="1324"/>
      <c r="G3" s="1324"/>
      <c r="H3" s="1324"/>
      <c r="I3" s="1324"/>
      <c r="J3" s="1324"/>
      <c r="K3" s="526"/>
      <c r="L3" s="526"/>
      <c r="M3" s="526"/>
      <c r="N3" s="526"/>
      <c r="O3" s="526"/>
      <c r="P3" s="526"/>
      <c r="Q3" s="526"/>
      <c r="R3" s="526"/>
      <c r="S3" s="526"/>
      <c r="T3" s="526"/>
      <c r="U3" s="526"/>
      <c r="V3" s="526"/>
      <c r="W3" s="526"/>
    </row>
    <row r="4" spans="1:23" s="192" customFormat="1" ht="18" x14ac:dyDescent="0.25">
      <c r="A4" s="1322" t="s">
        <v>532</v>
      </c>
      <c r="B4" s="1322"/>
      <c r="C4" s="1322"/>
      <c r="D4" s="1322"/>
      <c r="E4" s="1322"/>
      <c r="F4" s="1322"/>
      <c r="G4" s="1322"/>
      <c r="H4" s="1322"/>
      <c r="I4" s="1322"/>
      <c r="J4" s="1322"/>
      <c r="K4" s="191"/>
      <c r="L4" s="191"/>
      <c r="M4" s="191"/>
    </row>
    <row r="5" spans="1:23" ht="15.75" x14ac:dyDescent="0.25">
      <c r="A5" s="1000" t="s">
        <v>463</v>
      </c>
      <c r="B5" s="1000"/>
      <c r="C5" s="1000"/>
      <c r="D5" s="59"/>
      <c r="E5" s="59"/>
      <c r="F5" s="59"/>
      <c r="G5" s="59"/>
      <c r="H5" s="59"/>
      <c r="I5" s="59"/>
      <c r="J5" s="59"/>
      <c r="K5" s="56"/>
      <c r="L5" s="56"/>
      <c r="M5" s="56"/>
    </row>
    <row r="6" spans="1:23" x14ac:dyDescent="0.2">
      <c r="A6" s="56"/>
      <c r="B6" s="56"/>
      <c r="C6" s="56"/>
      <c r="D6" s="56"/>
      <c r="E6" s="56"/>
      <c r="F6" s="56"/>
      <c r="G6" s="56"/>
      <c r="H6" s="56"/>
      <c r="I6" s="56"/>
      <c r="J6" s="56"/>
      <c r="K6" s="56"/>
      <c r="L6" s="56"/>
      <c r="M6" s="56"/>
    </row>
    <row r="7" spans="1:23" ht="18" x14ac:dyDescent="0.25">
      <c r="A7" s="60"/>
      <c r="B7" s="56"/>
      <c r="C7" s="56"/>
      <c r="D7" s="56"/>
      <c r="E7" s="56"/>
      <c r="F7" s="56"/>
      <c r="G7" s="56"/>
      <c r="H7" s="56"/>
      <c r="I7" s="56"/>
      <c r="J7" s="56"/>
      <c r="K7" s="56"/>
      <c r="L7" s="56"/>
      <c r="M7" s="56"/>
    </row>
    <row r="8" spans="1:23" ht="21.75" customHeight="1" x14ac:dyDescent="0.2">
      <c r="A8" s="1306" t="s">
        <v>2</v>
      </c>
      <c r="B8" s="1306" t="s">
        <v>3</v>
      </c>
      <c r="C8" s="1323" t="s">
        <v>156</v>
      </c>
      <c r="D8" s="1323"/>
      <c r="E8" s="1323"/>
      <c r="F8" s="1323"/>
      <c r="G8" s="1323"/>
      <c r="H8" s="1323"/>
      <c r="I8" s="1323"/>
      <c r="J8" s="1323"/>
      <c r="K8" s="56"/>
      <c r="L8" s="56"/>
      <c r="M8" s="56"/>
    </row>
    <row r="9" spans="1:23" ht="32.25" customHeight="1" x14ac:dyDescent="0.2">
      <c r="A9" s="1306"/>
      <c r="B9" s="1306"/>
      <c r="C9" s="272" t="s">
        <v>214</v>
      </c>
      <c r="D9" s="272" t="s">
        <v>132</v>
      </c>
      <c r="E9" s="642" t="s">
        <v>750</v>
      </c>
      <c r="F9" s="516" t="s">
        <v>182</v>
      </c>
      <c r="G9" s="516" t="s">
        <v>133</v>
      </c>
      <c r="H9" s="516" t="s">
        <v>213</v>
      </c>
      <c r="I9" s="516" t="s">
        <v>833</v>
      </c>
      <c r="J9" s="272" t="s">
        <v>18</v>
      </c>
      <c r="K9" s="65"/>
      <c r="L9" s="65"/>
      <c r="M9" s="65"/>
    </row>
    <row r="10" spans="1:23" s="11" customFormat="1" x14ac:dyDescent="0.2">
      <c r="A10" s="272">
        <v>1</v>
      </c>
      <c r="B10" s="272">
        <v>2</v>
      </c>
      <c r="C10" s="272">
        <v>3</v>
      </c>
      <c r="D10" s="272">
        <v>4</v>
      </c>
      <c r="E10" s="272">
        <v>5</v>
      </c>
      <c r="F10" s="272">
        <v>6</v>
      </c>
      <c r="G10" s="272">
        <v>7</v>
      </c>
      <c r="H10" s="272">
        <v>8</v>
      </c>
      <c r="I10" s="272">
        <v>9</v>
      </c>
      <c r="J10" s="272">
        <v>10</v>
      </c>
      <c r="K10" s="65"/>
      <c r="L10" s="65"/>
      <c r="M10" s="65"/>
    </row>
    <row r="11" spans="1:23" ht="20.25" customHeight="1" x14ac:dyDescent="0.2">
      <c r="A11" s="194">
        <v>1</v>
      </c>
      <c r="B11" s="225" t="s">
        <v>392</v>
      </c>
      <c r="C11" s="274">
        <v>0</v>
      </c>
      <c r="D11" s="274">
        <v>0</v>
      </c>
      <c r="E11" s="275">
        <v>1864</v>
      </c>
      <c r="F11" s="274">
        <v>0</v>
      </c>
      <c r="G11" s="274">
        <v>0</v>
      </c>
      <c r="H11" s="274">
        <v>0</v>
      </c>
      <c r="I11" s="274">
        <v>0</v>
      </c>
      <c r="J11" s="275">
        <f>E11</f>
        <v>1864</v>
      </c>
      <c r="K11" s="56"/>
      <c r="L11" s="56"/>
      <c r="M11" s="56"/>
    </row>
    <row r="12" spans="1:23" ht="20.25" customHeight="1" x14ac:dyDescent="0.2">
      <c r="A12" s="194">
        <v>2</v>
      </c>
      <c r="B12" s="225" t="s">
        <v>393</v>
      </c>
      <c r="C12" s="274">
        <v>0</v>
      </c>
      <c r="D12" s="274">
        <v>0</v>
      </c>
      <c r="E12" s="275">
        <v>819</v>
      </c>
      <c r="F12" s="274">
        <v>0</v>
      </c>
      <c r="G12" s="274">
        <v>0</v>
      </c>
      <c r="H12" s="274">
        <v>0</v>
      </c>
      <c r="I12" s="274">
        <v>0</v>
      </c>
      <c r="J12" s="275">
        <f t="shared" ref="J12:J23" si="0">E12</f>
        <v>819</v>
      </c>
      <c r="K12" s="56"/>
      <c r="L12" s="56"/>
      <c r="M12" s="56"/>
    </row>
    <row r="13" spans="1:23" ht="20.25" customHeight="1" x14ac:dyDescent="0.2">
      <c r="A13" s="194">
        <v>3</v>
      </c>
      <c r="B13" s="225" t="s">
        <v>394</v>
      </c>
      <c r="C13" s="274">
        <v>0</v>
      </c>
      <c r="D13" s="274">
        <v>0</v>
      </c>
      <c r="E13" s="275">
        <v>1406</v>
      </c>
      <c r="F13" s="274">
        <v>0</v>
      </c>
      <c r="G13" s="274">
        <v>0</v>
      </c>
      <c r="H13" s="274">
        <v>0</v>
      </c>
      <c r="I13" s="274">
        <v>0</v>
      </c>
      <c r="J13" s="275">
        <f t="shared" si="0"/>
        <v>1406</v>
      </c>
      <c r="K13" s="56"/>
      <c r="L13" s="56"/>
      <c r="M13" s="56"/>
    </row>
    <row r="14" spans="1:23" ht="20.25" customHeight="1" x14ac:dyDescent="0.2">
      <c r="A14" s="194">
        <v>4</v>
      </c>
      <c r="B14" s="225" t="s">
        <v>395</v>
      </c>
      <c r="C14" s="274">
        <v>0</v>
      </c>
      <c r="D14" s="274">
        <v>0</v>
      </c>
      <c r="E14" s="275">
        <v>714</v>
      </c>
      <c r="F14" s="274">
        <v>0</v>
      </c>
      <c r="G14" s="274">
        <v>0</v>
      </c>
      <c r="H14" s="274">
        <v>0</v>
      </c>
      <c r="I14" s="274">
        <v>0</v>
      </c>
      <c r="J14" s="275">
        <f t="shared" si="0"/>
        <v>714</v>
      </c>
      <c r="K14" s="56"/>
      <c r="L14" s="56"/>
      <c r="M14" s="56"/>
    </row>
    <row r="15" spans="1:23" ht="20.25" customHeight="1" x14ac:dyDescent="0.2">
      <c r="A15" s="194">
        <v>5</v>
      </c>
      <c r="B15" s="227" t="s">
        <v>396</v>
      </c>
      <c r="C15" s="274">
        <v>0</v>
      </c>
      <c r="D15" s="274">
        <v>0</v>
      </c>
      <c r="E15" s="275">
        <v>1442</v>
      </c>
      <c r="F15" s="274">
        <v>0</v>
      </c>
      <c r="G15" s="274">
        <v>0</v>
      </c>
      <c r="H15" s="274">
        <v>0</v>
      </c>
      <c r="I15" s="274">
        <v>0</v>
      </c>
      <c r="J15" s="275">
        <f t="shared" si="0"/>
        <v>1442</v>
      </c>
      <c r="K15" s="56"/>
      <c r="L15" s="56"/>
      <c r="M15" s="56"/>
    </row>
    <row r="16" spans="1:23" ht="20.25" customHeight="1" x14ac:dyDescent="0.2">
      <c r="A16" s="194">
        <v>6</v>
      </c>
      <c r="B16" s="225" t="s">
        <v>397</v>
      </c>
      <c r="C16" s="274">
        <v>0</v>
      </c>
      <c r="D16" s="274">
        <v>0</v>
      </c>
      <c r="E16" s="275">
        <v>1086</v>
      </c>
      <c r="F16" s="274">
        <v>0</v>
      </c>
      <c r="G16" s="274">
        <v>0</v>
      </c>
      <c r="H16" s="274">
        <v>0</v>
      </c>
      <c r="I16" s="274">
        <v>0</v>
      </c>
      <c r="J16" s="275">
        <f t="shared" si="0"/>
        <v>1086</v>
      </c>
      <c r="K16" s="56"/>
      <c r="L16" s="56"/>
      <c r="M16" s="56"/>
    </row>
    <row r="17" spans="1:13" ht="20.25" customHeight="1" x14ac:dyDescent="0.2">
      <c r="A17" s="194">
        <v>7</v>
      </c>
      <c r="B17" s="227" t="s">
        <v>398</v>
      </c>
      <c r="C17" s="274">
        <v>0</v>
      </c>
      <c r="D17" s="274">
        <v>0</v>
      </c>
      <c r="E17" s="275">
        <v>1427</v>
      </c>
      <c r="F17" s="274">
        <v>0</v>
      </c>
      <c r="G17" s="274">
        <v>0</v>
      </c>
      <c r="H17" s="274">
        <v>0</v>
      </c>
      <c r="I17" s="274">
        <v>0</v>
      </c>
      <c r="J17" s="275">
        <f t="shared" si="0"/>
        <v>1427</v>
      </c>
      <c r="K17" s="56"/>
      <c r="L17" s="56"/>
      <c r="M17" s="56"/>
    </row>
    <row r="18" spans="1:13" ht="20.25" customHeight="1" x14ac:dyDescent="0.2">
      <c r="A18" s="194">
        <v>8</v>
      </c>
      <c r="B18" s="225" t="s">
        <v>399</v>
      </c>
      <c r="C18" s="274">
        <v>0</v>
      </c>
      <c r="D18" s="274">
        <v>0</v>
      </c>
      <c r="E18" s="275">
        <v>2224</v>
      </c>
      <c r="F18" s="274">
        <v>0</v>
      </c>
      <c r="G18" s="274">
        <v>0</v>
      </c>
      <c r="H18" s="274">
        <v>0</v>
      </c>
      <c r="I18" s="274">
        <v>0</v>
      </c>
      <c r="J18" s="275">
        <f t="shared" si="0"/>
        <v>2224</v>
      </c>
      <c r="K18" s="56"/>
      <c r="L18" s="56"/>
      <c r="M18" s="56"/>
    </row>
    <row r="19" spans="1:13" ht="20.25" customHeight="1" x14ac:dyDescent="0.2">
      <c r="A19" s="194">
        <v>9</v>
      </c>
      <c r="B19" s="225" t="s">
        <v>400</v>
      </c>
      <c r="C19" s="274">
        <v>0</v>
      </c>
      <c r="D19" s="274">
        <v>0</v>
      </c>
      <c r="E19" s="275">
        <v>1559</v>
      </c>
      <c r="F19" s="274">
        <v>0</v>
      </c>
      <c r="G19" s="274">
        <v>0</v>
      </c>
      <c r="H19" s="274">
        <v>0</v>
      </c>
      <c r="I19" s="274">
        <v>0</v>
      </c>
      <c r="J19" s="275">
        <f t="shared" si="0"/>
        <v>1559</v>
      </c>
      <c r="K19" s="56"/>
      <c r="L19" s="56"/>
      <c r="M19" s="56"/>
    </row>
    <row r="20" spans="1:13" ht="20.25" customHeight="1" x14ac:dyDescent="0.2">
      <c r="A20" s="194">
        <v>10</v>
      </c>
      <c r="B20" s="225" t="s">
        <v>401</v>
      </c>
      <c r="C20" s="274">
        <v>0</v>
      </c>
      <c r="D20" s="274">
        <v>0</v>
      </c>
      <c r="E20" s="275">
        <v>814</v>
      </c>
      <c r="F20" s="274">
        <v>0</v>
      </c>
      <c r="G20" s="274">
        <v>0</v>
      </c>
      <c r="H20" s="274">
        <v>0</v>
      </c>
      <c r="I20" s="274">
        <v>0</v>
      </c>
      <c r="J20" s="275">
        <f t="shared" si="0"/>
        <v>814</v>
      </c>
      <c r="K20" s="56"/>
      <c r="L20" s="56"/>
      <c r="M20" s="56"/>
    </row>
    <row r="21" spans="1:13" ht="20.25" customHeight="1" x14ac:dyDescent="0.2">
      <c r="A21" s="194">
        <v>11</v>
      </c>
      <c r="B21" s="225" t="s">
        <v>402</v>
      </c>
      <c r="C21" s="274">
        <v>0</v>
      </c>
      <c r="D21" s="274">
        <v>0</v>
      </c>
      <c r="E21" s="275">
        <v>1988</v>
      </c>
      <c r="F21" s="274">
        <v>0</v>
      </c>
      <c r="G21" s="274">
        <v>0</v>
      </c>
      <c r="H21" s="274">
        <v>0</v>
      </c>
      <c r="I21" s="274">
        <v>0</v>
      </c>
      <c r="J21" s="275">
        <f t="shared" si="0"/>
        <v>1988</v>
      </c>
      <c r="K21" s="56"/>
      <c r="L21" s="56"/>
      <c r="M21" s="56"/>
    </row>
    <row r="22" spans="1:13" ht="20.25" customHeight="1" x14ac:dyDescent="0.2">
      <c r="A22" s="194">
        <v>12</v>
      </c>
      <c r="B22" s="225" t="s">
        <v>403</v>
      </c>
      <c r="C22" s="274">
        <v>0</v>
      </c>
      <c r="D22" s="274">
        <v>0</v>
      </c>
      <c r="E22" s="275">
        <v>1255</v>
      </c>
      <c r="F22" s="274">
        <v>0</v>
      </c>
      <c r="G22" s="274">
        <v>0</v>
      </c>
      <c r="H22" s="274">
        <v>0</v>
      </c>
      <c r="I22" s="274">
        <v>0</v>
      </c>
      <c r="J22" s="275">
        <f t="shared" si="0"/>
        <v>1255</v>
      </c>
      <c r="K22" s="56"/>
      <c r="L22" s="56"/>
      <c r="M22" s="56"/>
    </row>
    <row r="23" spans="1:13" ht="20.25" customHeight="1" x14ac:dyDescent="0.2">
      <c r="A23" s="194">
        <v>13</v>
      </c>
      <c r="B23" s="225" t="s">
        <v>404</v>
      </c>
      <c r="C23" s="274">
        <v>0</v>
      </c>
      <c r="D23" s="274">
        <v>0</v>
      </c>
      <c r="E23" s="275">
        <v>1066</v>
      </c>
      <c r="F23" s="274">
        <v>0</v>
      </c>
      <c r="G23" s="274">
        <v>0</v>
      </c>
      <c r="H23" s="274">
        <v>0</v>
      </c>
      <c r="I23" s="274">
        <v>0</v>
      </c>
      <c r="J23" s="275">
        <f t="shared" si="0"/>
        <v>1066</v>
      </c>
      <c r="K23" s="56"/>
      <c r="L23" s="56"/>
      <c r="M23" s="56"/>
    </row>
    <row r="24" spans="1:13" s="11" customFormat="1" ht="20.25" customHeight="1" x14ac:dyDescent="0.2">
      <c r="A24" s="232" t="s">
        <v>18</v>
      </c>
      <c r="B24" s="232"/>
      <c r="C24" s="232">
        <f t="shared" ref="C24:D24" si="1">SUM(C11:C23)</f>
        <v>0</v>
      </c>
      <c r="D24" s="232">
        <f t="shared" si="1"/>
        <v>0</v>
      </c>
      <c r="E24" s="232">
        <f>SUM(E11:E23)</f>
        <v>17664</v>
      </c>
      <c r="F24" s="232">
        <f t="shared" ref="F24:I24" si="2">SUM(F11:F23)</f>
        <v>0</v>
      </c>
      <c r="G24" s="232">
        <f t="shared" si="2"/>
        <v>0</v>
      </c>
      <c r="H24" s="232">
        <f t="shared" si="2"/>
        <v>0</v>
      </c>
      <c r="I24" s="232">
        <f t="shared" si="2"/>
        <v>0</v>
      </c>
      <c r="J24" s="232">
        <f>SUM(J11:J23)</f>
        <v>17664</v>
      </c>
      <c r="K24" s="65"/>
      <c r="L24" s="65"/>
      <c r="M24" s="65"/>
    </row>
    <row r="25" spans="1:13" x14ac:dyDescent="0.2">
      <c r="A25" s="514"/>
      <c r="B25" s="514"/>
      <c r="C25" s="514"/>
      <c r="D25" s="514"/>
      <c r="E25" s="56"/>
      <c r="F25" s="56"/>
      <c r="G25" s="56"/>
      <c r="H25" s="56"/>
      <c r="I25" s="56"/>
      <c r="J25" s="56"/>
      <c r="K25" s="56"/>
      <c r="L25" s="56"/>
      <c r="M25" s="56"/>
    </row>
    <row r="26" spans="1:13" x14ac:dyDescent="0.2">
      <c r="A26" s="514" t="s">
        <v>134</v>
      </c>
      <c r="B26" s="514"/>
      <c r="C26" s="514"/>
      <c r="D26" s="514"/>
      <c r="E26" s="56"/>
      <c r="F26" s="56"/>
      <c r="G26" s="56"/>
      <c r="H26" s="56"/>
      <c r="I26" s="56"/>
      <c r="J26" s="56"/>
      <c r="K26" s="56"/>
      <c r="L26" s="56"/>
      <c r="M26" s="56"/>
    </row>
    <row r="27" spans="1:13" x14ac:dyDescent="0.2">
      <c r="A27" s="514" t="s">
        <v>215</v>
      </c>
      <c r="B27" s="514"/>
      <c r="C27" s="514"/>
      <c r="D27" s="514"/>
      <c r="E27" s="56"/>
      <c r="F27" s="56"/>
      <c r="G27" s="56"/>
      <c r="H27" s="56"/>
      <c r="I27" s="56"/>
      <c r="J27" s="56"/>
      <c r="K27" s="56"/>
      <c r="L27" s="56"/>
      <c r="M27" s="56"/>
    </row>
    <row r="28" spans="1:13" x14ac:dyDescent="0.2">
      <c r="A28" s="468" t="s">
        <v>135</v>
      </c>
      <c r="B28" s="468"/>
      <c r="C28" s="468"/>
      <c r="D28" s="468"/>
    </row>
    <row r="29" spans="1:13" x14ac:dyDescent="0.2">
      <c r="A29" s="1320" t="s">
        <v>136</v>
      </c>
      <c r="B29" s="1320"/>
      <c r="C29" s="1320"/>
      <c r="D29" s="1320"/>
      <c r="E29" s="1089"/>
      <c r="F29" s="1089"/>
      <c r="G29" s="1089"/>
      <c r="H29" s="1089"/>
      <c r="I29" s="1089"/>
      <c r="J29" s="1089"/>
      <c r="K29" s="1089"/>
      <c r="L29" s="1089"/>
      <c r="M29" s="1089"/>
    </row>
    <row r="30" spans="1:13" x14ac:dyDescent="0.2">
      <c r="A30" s="1321" t="s">
        <v>137</v>
      </c>
      <c r="B30" s="1321"/>
      <c r="C30" s="1321"/>
      <c r="D30" s="1321"/>
      <c r="E30" s="56"/>
      <c r="F30" s="56"/>
      <c r="G30" s="56"/>
      <c r="H30" s="56"/>
      <c r="I30" s="56"/>
      <c r="J30" s="56"/>
      <c r="K30" s="56"/>
      <c r="L30" s="56"/>
      <c r="M30" s="56"/>
    </row>
    <row r="31" spans="1:13" x14ac:dyDescent="0.2">
      <c r="A31" s="515" t="s">
        <v>183</v>
      </c>
      <c r="B31" s="515"/>
      <c r="C31" s="515"/>
      <c r="D31" s="515"/>
      <c r="E31" s="56"/>
      <c r="F31" s="56"/>
      <c r="G31" s="56"/>
      <c r="H31" s="56"/>
      <c r="I31" s="56"/>
      <c r="J31" s="56"/>
      <c r="K31" s="56"/>
      <c r="L31" s="56"/>
      <c r="M31" s="56"/>
    </row>
    <row r="32" spans="1:13" x14ac:dyDescent="0.2">
      <c r="A32" s="84"/>
      <c r="B32" s="84"/>
      <c r="C32" s="84"/>
      <c r="D32" s="84"/>
      <c r="E32" s="56"/>
      <c r="F32" s="56"/>
      <c r="G32" s="56"/>
      <c r="H32" s="56"/>
      <c r="I32" s="56"/>
      <c r="J32" s="56"/>
      <c r="K32" s="56"/>
      <c r="L32" s="56"/>
      <c r="M32" s="56"/>
    </row>
    <row r="33" spans="1:13" ht="15.75" x14ac:dyDescent="0.2">
      <c r="A33" s="512" t="s">
        <v>11</v>
      </c>
      <c r="B33" s="512"/>
      <c r="C33" s="512"/>
      <c r="D33" s="512"/>
      <c r="E33" s="512"/>
      <c r="F33" s="512"/>
      <c r="G33" s="512"/>
      <c r="H33" s="512"/>
      <c r="I33" s="512"/>
      <c r="J33" s="513" t="s">
        <v>12</v>
      </c>
      <c r="K33" s="85"/>
      <c r="L33" s="56"/>
      <c r="M33" s="56"/>
    </row>
    <row r="34" spans="1:13" x14ac:dyDescent="0.2">
      <c r="A34" s="1319" t="s">
        <v>13</v>
      </c>
      <c r="B34" s="1319"/>
      <c r="C34" s="1319"/>
      <c r="D34" s="1319"/>
      <c r="E34" s="1319"/>
      <c r="F34" s="1319"/>
      <c r="G34" s="1319"/>
      <c r="H34" s="1319"/>
      <c r="I34" s="1319"/>
      <c r="J34" s="1319"/>
      <c r="K34" s="56"/>
      <c r="L34" s="56"/>
      <c r="M34" s="56"/>
    </row>
    <row r="35" spans="1:13" ht="15.75" customHeight="1" x14ac:dyDescent="0.2">
      <c r="A35" s="1319" t="s">
        <v>14</v>
      </c>
      <c r="B35" s="1319"/>
      <c r="C35" s="1319"/>
      <c r="D35" s="1319"/>
      <c r="E35" s="1319"/>
      <c r="F35" s="1319"/>
      <c r="G35" s="1319"/>
      <c r="H35" s="1319"/>
      <c r="I35" s="1319"/>
      <c r="J35" s="1319"/>
      <c r="K35" s="85"/>
      <c r="L35" s="56"/>
      <c r="M35" s="56"/>
    </row>
    <row r="36" spans="1:13" x14ac:dyDescent="0.2">
      <c r="A36" s="512"/>
      <c r="B36" s="512"/>
      <c r="C36" s="512"/>
      <c r="D36" s="512"/>
      <c r="E36" s="512"/>
      <c r="F36" s="512"/>
      <c r="G36" s="1152" t="s">
        <v>85</v>
      </c>
      <c r="H36" s="1152"/>
      <c r="I36" s="1152"/>
      <c r="J36" s="1152"/>
      <c r="K36" s="24"/>
      <c r="L36" s="24"/>
      <c r="M36" s="56"/>
    </row>
    <row r="37" spans="1:13" x14ac:dyDescent="0.2">
      <c r="A37" s="1318"/>
      <c r="B37" s="1318"/>
      <c r="C37" s="1318"/>
      <c r="D37" s="1318"/>
      <c r="E37" s="1318"/>
      <c r="F37" s="1318"/>
      <c r="G37" s="1318"/>
      <c r="H37" s="1318"/>
      <c r="I37" s="1318"/>
      <c r="J37" s="1318"/>
      <c r="K37" s="56"/>
      <c r="L37" s="56"/>
      <c r="M37" s="56"/>
    </row>
  </sheetData>
  <mergeCells count="17">
    <mergeCell ref="K29:M29"/>
    <mergeCell ref="A30:D30"/>
    <mergeCell ref="A35:J35"/>
    <mergeCell ref="D1:E1"/>
    <mergeCell ref="G1:J1"/>
    <mergeCell ref="A2:J2"/>
    <mergeCell ref="A4:J4"/>
    <mergeCell ref="A8:A9"/>
    <mergeCell ref="B8:B9"/>
    <mergeCell ref="C8:J8"/>
    <mergeCell ref="A5:C5"/>
    <mergeCell ref="A3:J3"/>
    <mergeCell ref="G36:J36"/>
    <mergeCell ref="A37:J37"/>
    <mergeCell ref="A34:J34"/>
    <mergeCell ref="A29:D29"/>
    <mergeCell ref="E29:J29"/>
  </mergeCells>
  <phoneticPr fontId="0" type="noConversion"/>
  <printOptions horizontalCentered="1"/>
  <pageMargins left="0.70866141732283472" right="0.70866141732283472" top="0.27" bottom="0" header="0.45" footer="0.31496062992125984"/>
  <pageSetup paperSize="9" scale="91"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4"/>
  <sheetViews>
    <sheetView topLeftCell="A10" zoomScaleSheetLayoutView="112" workbookViewId="0">
      <selection activeCell="N16" sqref="N16"/>
    </sheetView>
  </sheetViews>
  <sheetFormatPr defaultColWidth="18.28515625" defaultRowHeight="12.75" x14ac:dyDescent="0.2"/>
  <cols>
    <col min="1" max="1" width="5.85546875" customWidth="1"/>
    <col min="2" max="2" width="15.28515625" customWidth="1"/>
    <col min="3" max="3" width="13.28515625" bestFit="1" customWidth="1"/>
    <col min="4" max="4" width="9.85546875" bestFit="1" customWidth="1"/>
    <col min="5" max="5" width="14.42578125" bestFit="1" customWidth="1"/>
    <col min="6" max="6" width="13.42578125" bestFit="1" customWidth="1"/>
    <col min="7" max="7" width="14.7109375" bestFit="1" customWidth="1"/>
    <col min="8" max="8" width="15.85546875" customWidth="1"/>
    <col min="9" max="9" width="14.42578125" bestFit="1" customWidth="1"/>
    <col min="10" max="10" width="13.7109375" bestFit="1" customWidth="1"/>
    <col min="11" max="11" width="14.7109375" bestFit="1" customWidth="1"/>
    <col min="12" max="12" width="15.85546875" bestFit="1" customWidth="1"/>
    <col min="13" max="13" width="14.42578125" bestFit="1" customWidth="1"/>
  </cols>
  <sheetData>
    <row r="1" spans="1:13" x14ac:dyDescent="0.2">
      <c r="A1" s="56"/>
      <c r="B1" s="56"/>
      <c r="C1" s="56"/>
      <c r="D1" s="56"/>
      <c r="E1" s="56"/>
      <c r="F1" s="56"/>
      <c r="G1" s="56"/>
      <c r="H1" s="56"/>
      <c r="I1" s="56"/>
      <c r="L1" s="1083" t="s">
        <v>725</v>
      </c>
      <c r="M1" s="1083"/>
    </row>
    <row r="2" spans="1:13" ht="15" x14ac:dyDescent="0.25">
      <c r="A2" s="1047" t="s">
        <v>0</v>
      </c>
      <c r="B2" s="1047"/>
      <c r="C2" s="1047"/>
      <c r="D2" s="1047"/>
      <c r="E2" s="1047"/>
      <c r="F2" s="1047"/>
      <c r="G2" s="1047"/>
      <c r="H2" s="1047"/>
      <c r="I2" s="1047"/>
      <c r="J2" s="1047"/>
      <c r="K2" s="1047"/>
      <c r="L2" s="1047"/>
      <c r="M2" s="1047"/>
    </row>
    <row r="3" spans="1:13" ht="15" x14ac:dyDescent="0.25">
      <c r="A3" s="1047" t="s">
        <v>794</v>
      </c>
      <c r="B3" s="1047"/>
      <c r="C3" s="1047"/>
      <c r="D3" s="1047"/>
      <c r="E3" s="1047"/>
      <c r="F3" s="1047"/>
      <c r="G3" s="1047"/>
      <c r="H3" s="1047"/>
      <c r="I3" s="1047"/>
      <c r="J3" s="1047"/>
      <c r="K3" s="1047"/>
      <c r="L3" s="1047"/>
      <c r="M3" s="1047"/>
    </row>
    <row r="4" spans="1:13" x14ac:dyDescent="0.2">
      <c r="A4" s="56"/>
      <c r="B4" s="56"/>
      <c r="C4" s="56"/>
      <c r="D4" s="56"/>
      <c r="E4" s="56"/>
      <c r="F4" s="56"/>
      <c r="G4" s="56"/>
      <c r="H4" s="56"/>
      <c r="I4" s="56"/>
      <c r="J4" s="56"/>
      <c r="K4" s="56"/>
    </row>
    <row r="5" spans="1:13" ht="15.75" x14ac:dyDescent="0.25">
      <c r="A5" s="1326" t="s">
        <v>718</v>
      </c>
      <c r="B5" s="1326"/>
      <c r="C5" s="1326"/>
      <c r="D5" s="1326"/>
      <c r="E5" s="1326"/>
      <c r="F5" s="1326"/>
      <c r="G5" s="1326"/>
      <c r="H5" s="1326"/>
      <c r="I5" s="1326"/>
      <c r="J5" s="1326"/>
      <c r="K5" s="1326"/>
      <c r="L5" s="1326"/>
      <c r="M5" s="1326"/>
    </row>
    <row r="6" spans="1:13" ht="8.25" customHeight="1" x14ac:dyDescent="0.2">
      <c r="A6" s="56"/>
      <c r="B6" s="56"/>
      <c r="C6" s="56"/>
      <c r="D6" s="56"/>
      <c r="E6" s="56"/>
      <c r="F6" s="56"/>
      <c r="G6" s="56"/>
      <c r="H6" s="56"/>
      <c r="I6" s="56"/>
      <c r="J6" s="56"/>
      <c r="K6" s="56"/>
    </row>
    <row r="7" spans="1:13" x14ac:dyDescent="0.2">
      <c r="A7" s="1163" t="s">
        <v>588</v>
      </c>
      <c r="B7" s="1163"/>
      <c r="C7" s="514"/>
      <c r="D7" s="56"/>
      <c r="E7" s="56"/>
      <c r="F7" s="56"/>
      <c r="G7" s="56"/>
      <c r="H7" s="56"/>
      <c r="I7" s="56"/>
      <c r="J7" s="56"/>
      <c r="K7" s="56"/>
    </row>
    <row r="8" spans="1:13" s="345" customFormat="1" ht="18" customHeight="1" x14ac:dyDescent="0.2">
      <c r="A8" s="1306" t="s">
        <v>2</v>
      </c>
      <c r="B8" s="1306" t="s">
        <v>3</v>
      </c>
      <c r="C8" s="1306" t="s">
        <v>132</v>
      </c>
      <c r="D8" s="1306"/>
      <c r="E8" s="1306"/>
      <c r="F8" s="1306" t="s">
        <v>213</v>
      </c>
      <c r="G8" s="1306"/>
      <c r="H8" s="1306"/>
      <c r="I8" s="1306"/>
      <c r="J8" s="1306" t="s">
        <v>213</v>
      </c>
      <c r="K8" s="1306"/>
      <c r="L8" s="1306"/>
      <c r="M8" s="1306"/>
    </row>
    <row r="9" spans="1:13" s="345" customFormat="1" ht="38.25" x14ac:dyDescent="0.2">
      <c r="A9" s="1306"/>
      <c r="B9" s="1306"/>
      <c r="C9" s="195" t="s">
        <v>719</v>
      </c>
      <c r="D9" s="195" t="s">
        <v>720</v>
      </c>
      <c r="E9" s="195" t="s">
        <v>216</v>
      </c>
      <c r="F9" s="195" t="s">
        <v>534</v>
      </c>
      <c r="G9" s="195" t="s">
        <v>535</v>
      </c>
      <c r="H9" s="195" t="s">
        <v>533</v>
      </c>
      <c r="I9" s="195" t="s">
        <v>216</v>
      </c>
      <c r="J9" s="195" t="s">
        <v>536</v>
      </c>
      <c r="K9" s="195" t="s">
        <v>535</v>
      </c>
      <c r="L9" s="195" t="s">
        <v>533</v>
      </c>
      <c r="M9" s="195" t="s">
        <v>216</v>
      </c>
    </row>
    <row r="10" spans="1:13" x14ac:dyDescent="0.2">
      <c r="A10" s="308">
        <v>1</v>
      </c>
      <c r="B10" s="308">
        <v>2</v>
      </c>
      <c r="C10" s="308">
        <v>3</v>
      </c>
      <c r="D10" s="308">
        <v>4</v>
      </c>
      <c r="E10" s="308">
        <v>5</v>
      </c>
      <c r="F10" s="308">
        <v>6</v>
      </c>
      <c r="G10" s="308">
        <v>7</v>
      </c>
      <c r="H10" s="308">
        <v>8</v>
      </c>
      <c r="I10" s="308">
        <v>9</v>
      </c>
      <c r="J10" s="308">
        <v>10</v>
      </c>
      <c r="K10" s="308">
        <v>11</v>
      </c>
      <c r="L10" s="308">
        <v>12</v>
      </c>
      <c r="M10" s="308">
        <v>13</v>
      </c>
    </row>
    <row r="11" spans="1:13" ht="23.25" customHeight="1" x14ac:dyDescent="0.2">
      <c r="A11" s="194">
        <v>1</v>
      </c>
      <c r="B11" s="225" t="s">
        <v>392</v>
      </c>
      <c r="C11" s="1327" t="s">
        <v>406</v>
      </c>
      <c r="D11" s="1328"/>
      <c r="E11" s="1328"/>
      <c r="F11" s="1328"/>
      <c r="G11" s="1328"/>
      <c r="H11" s="1328"/>
      <c r="I11" s="1328"/>
      <c r="J11" s="1328"/>
      <c r="K11" s="1328"/>
      <c r="L11" s="1328"/>
      <c r="M11" s="1329"/>
    </row>
    <row r="12" spans="1:13" ht="23.25" customHeight="1" x14ac:dyDescent="0.2">
      <c r="A12" s="194">
        <v>2</v>
      </c>
      <c r="B12" s="225" t="s">
        <v>393</v>
      </c>
      <c r="C12" s="1330"/>
      <c r="D12" s="1331"/>
      <c r="E12" s="1331"/>
      <c r="F12" s="1331"/>
      <c r="G12" s="1331"/>
      <c r="H12" s="1331"/>
      <c r="I12" s="1331"/>
      <c r="J12" s="1331"/>
      <c r="K12" s="1331"/>
      <c r="L12" s="1331"/>
      <c r="M12" s="1332"/>
    </row>
    <row r="13" spans="1:13" ht="23.25" customHeight="1" x14ac:dyDescent="0.2">
      <c r="A13" s="194">
        <v>3</v>
      </c>
      <c r="B13" s="225" t="s">
        <v>394</v>
      </c>
      <c r="C13" s="1330"/>
      <c r="D13" s="1331"/>
      <c r="E13" s="1331"/>
      <c r="F13" s="1331"/>
      <c r="G13" s="1331"/>
      <c r="H13" s="1331"/>
      <c r="I13" s="1331"/>
      <c r="J13" s="1331"/>
      <c r="K13" s="1331"/>
      <c r="L13" s="1331"/>
      <c r="M13" s="1332"/>
    </row>
    <row r="14" spans="1:13" ht="23.25" customHeight="1" x14ac:dyDescent="0.2">
      <c r="A14" s="194">
        <v>4</v>
      </c>
      <c r="B14" s="225" t="s">
        <v>395</v>
      </c>
      <c r="C14" s="1330"/>
      <c r="D14" s="1331"/>
      <c r="E14" s="1331"/>
      <c r="F14" s="1331"/>
      <c r="G14" s="1331"/>
      <c r="H14" s="1331"/>
      <c r="I14" s="1331"/>
      <c r="J14" s="1331"/>
      <c r="K14" s="1331"/>
      <c r="L14" s="1331"/>
      <c r="M14" s="1332"/>
    </row>
    <row r="15" spans="1:13" ht="23.25" customHeight="1" x14ac:dyDescent="0.2">
      <c r="A15" s="194">
        <v>5</v>
      </c>
      <c r="B15" s="227" t="s">
        <v>396</v>
      </c>
      <c r="C15" s="1330"/>
      <c r="D15" s="1331"/>
      <c r="E15" s="1331"/>
      <c r="F15" s="1331"/>
      <c r="G15" s="1331"/>
      <c r="H15" s="1331"/>
      <c r="I15" s="1331"/>
      <c r="J15" s="1331"/>
      <c r="K15" s="1331"/>
      <c r="L15" s="1331"/>
      <c r="M15" s="1332"/>
    </row>
    <row r="16" spans="1:13" ht="23.25" customHeight="1" x14ac:dyDescent="0.2">
      <c r="A16" s="194">
        <v>6</v>
      </c>
      <c r="B16" s="225" t="s">
        <v>397</v>
      </c>
      <c r="C16" s="1330"/>
      <c r="D16" s="1331"/>
      <c r="E16" s="1331"/>
      <c r="F16" s="1331"/>
      <c r="G16" s="1331"/>
      <c r="H16" s="1331"/>
      <c r="I16" s="1331"/>
      <c r="J16" s="1331"/>
      <c r="K16" s="1331"/>
      <c r="L16" s="1331"/>
      <c r="M16" s="1332"/>
    </row>
    <row r="17" spans="1:13" ht="23.25" customHeight="1" x14ac:dyDescent="0.2">
      <c r="A17" s="194">
        <v>7</v>
      </c>
      <c r="B17" s="227" t="s">
        <v>398</v>
      </c>
      <c r="C17" s="1330"/>
      <c r="D17" s="1331"/>
      <c r="E17" s="1331"/>
      <c r="F17" s="1331"/>
      <c r="G17" s="1331"/>
      <c r="H17" s="1331"/>
      <c r="I17" s="1331"/>
      <c r="J17" s="1331"/>
      <c r="K17" s="1331"/>
      <c r="L17" s="1331"/>
      <c r="M17" s="1332"/>
    </row>
    <row r="18" spans="1:13" ht="23.25" customHeight="1" x14ac:dyDescent="0.2">
      <c r="A18" s="194">
        <v>8</v>
      </c>
      <c r="B18" s="225" t="s">
        <v>399</v>
      </c>
      <c r="C18" s="1330"/>
      <c r="D18" s="1331"/>
      <c r="E18" s="1331"/>
      <c r="F18" s="1331"/>
      <c r="G18" s="1331"/>
      <c r="H18" s="1331"/>
      <c r="I18" s="1331"/>
      <c r="J18" s="1331"/>
      <c r="K18" s="1331"/>
      <c r="L18" s="1331"/>
      <c r="M18" s="1332"/>
    </row>
    <row r="19" spans="1:13" ht="23.25" customHeight="1" x14ac:dyDescent="0.2">
      <c r="A19" s="194">
        <v>9</v>
      </c>
      <c r="B19" s="225" t="s">
        <v>400</v>
      </c>
      <c r="C19" s="1330"/>
      <c r="D19" s="1331"/>
      <c r="E19" s="1331"/>
      <c r="F19" s="1331"/>
      <c r="G19" s="1331"/>
      <c r="H19" s="1331"/>
      <c r="I19" s="1331"/>
      <c r="J19" s="1331"/>
      <c r="K19" s="1331"/>
      <c r="L19" s="1331"/>
      <c r="M19" s="1332"/>
    </row>
    <row r="20" spans="1:13" ht="23.25" customHeight="1" x14ac:dyDescent="0.2">
      <c r="A20" s="194">
        <v>10</v>
      </c>
      <c r="B20" s="225" t="s">
        <v>401</v>
      </c>
      <c r="C20" s="1330"/>
      <c r="D20" s="1331"/>
      <c r="E20" s="1331"/>
      <c r="F20" s="1331"/>
      <c r="G20" s="1331"/>
      <c r="H20" s="1331"/>
      <c r="I20" s="1331"/>
      <c r="J20" s="1331"/>
      <c r="K20" s="1331"/>
      <c r="L20" s="1331"/>
      <c r="M20" s="1332"/>
    </row>
    <row r="21" spans="1:13" ht="23.25" customHeight="1" x14ac:dyDescent="0.2">
      <c r="A21" s="194">
        <v>11</v>
      </c>
      <c r="B21" s="225" t="s">
        <v>402</v>
      </c>
      <c r="C21" s="1330"/>
      <c r="D21" s="1331"/>
      <c r="E21" s="1331"/>
      <c r="F21" s="1331"/>
      <c r="G21" s="1331"/>
      <c r="H21" s="1331"/>
      <c r="I21" s="1331"/>
      <c r="J21" s="1331"/>
      <c r="K21" s="1331"/>
      <c r="L21" s="1331"/>
      <c r="M21" s="1332"/>
    </row>
    <row r="22" spans="1:13" ht="23.25" customHeight="1" x14ac:dyDescent="0.2">
      <c r="A22" s="194">
        <v>12</v>
      </c>
      <c r="B22" s="225" t="s">
        <v>403</v>
      </c>
      <c r="C22" s="1330"/>
      <c r="D22" s="1331"/>
      <c r="E22" s="1331"/>
      <c r="F22" s="1331"/>
      <c r="G22" s="1331"/>
      <c r="H22" s="1331"/>
      <c r="I22" s="1331"/>
      <c r="J22" s="1331"/>
      <c r="K22" s="1331"/>
      <c r="L22" s="1331"/>
      <c r="M22" s="1332"/>
    </row>
    <row r="23" spans="1:13" ht="23.25" customHeight="1" x14ac:dyDescent="0.2">
      <c r="A23" s="194">
        <v>13</v>
      </c>
      <c r="B23" s="225" t="s">
        <v>404</v>
      </c>
      <c r="C23" s="1333"/>
      <c r="D23" s="1334"/>
      <c r="E23" s="1334"/>
      <c r="F23" s="1334"/>
      <c r="G23" s="1334"/>
      <c r="H23" s="1334"/>
      <c r="I23" s="1334"/>
      <c r="J23" s="1334"/>
      <c r="K23" s="1334"/>
      <c r="L23" s="1334"/>
      <c r="M23" s="1335"/>
    </row>
    <row r="24" spans="1:13" ht="16.5" customHeight="1" x14ac:dyDescent="0.2">
      <c r="A24" s="232" t="s">
        <v>18</v>
      </c>
      <c r="B24" s="232"/>
      <c r="C24" s="310"/>
      <c r="D24" s="310"/>
      <c r="E24" s="310"/>
      <c r="F24" s="310"/>
      <c r="G24" s="310"/>
      <c r="H24" s="310"/>
      <c r="I24" s="310"/>
      <c r="J24" s="310"/>
      <c r="K24" s="310"/>
      <c r="L24" s="6"/>
      <c r="M24" s="6"/>
    </row>
    <row r="25" spans="1:13" x14ac:dyDescent="0.2">
      <c r="A25" s="373"/>
      <c r="B25" s="373"/>
      <c r="C25" s="63"/>
      <c r="D25" s="63"/>
      <c r="E25" s="63"/>
      <c r="F25" s="63"/>
      <c r="G25" s="63"/>
      <c r="H25" s="63"/>
      <c r="I25" s="63"/>
      <c r="J25" s="63"/>
      <c r="K25" s="63"/>
    </row>
    <row r="26" spans="1:13" x14ac:dyDescent="0.2">
      <c r="A26" s="56"/>
      <c r="B26" s="56"/>
      <c r="C26" s="56"/>
      <c r="D26" s="56"/>
      <c r="E26" s="56"/>
      <c r="F26" s="56"/>
      <c r="G26" s="56"/>
      <c r="H26" s="56"/>
      <c r="I26" s="56"/>
      <c r="J26" s="56"/>
      <c r="K26" s="56"/>
    </row>
    <row r="27" spans="1:13" x14ac:dyDescent="0.2">
      <c r="B27" s="65"/>
      <c r="C27" s="65"/>
      <c r="D27" s="65"/>
    </row>
    <row r="29" spans="1:13" ht="12.75" customHeight="1" x14ac:dyDescent="0.2">
      <c r="B29" s="511"/>
      <c r="C29" s="511"/>
      <c r="D29" s="511"/>
    </row>
    <row r="30" spans="1:13" ht="12.75" customHeight="1" x14ac:dyDescent="0.2">
      <c r="B30" s="511"/>
      <c r="C30" s="511"/>
      <c r="D30" s="511"/>
    </row>
    <row r="31" spans="1:13" x14ac:dyDescent="0.2">
      <c r="L31" s="511" t="s">
        <v>12</v>
      </c>
      <c r="M31" s="511"/>
    </row>
    <row r="32" spans="1:13" x14ac:dyDescent="0.2">
      <c r="K32" s="1325" t="s">
        <v>13</v>
      </c>
      <c r="L32" s="1325"/>
      <c r="M32" s="1325"/>
    </row>
    <row r="33" spans="1:13" x14ac:dyDescent="0.2">
      <c r="K33" s="1325" t="s">
        <v>631</v>
      </c>
      <c r="L33" s="1325"/>
      <c r="M33" s="1325"/>
    </row>
    <row r="34" spans="1:13" x14ac:dyDescent="0.2">
      <c r="A34" s="65" t="s">
        <v>630</v>
      </c>
      <c r="L34" s="24" t="s">
        <v>85</v>
      </c>
    </row>
  </sheetData>
  <mergeCells count="13">
    <mergeCell ref="L1:M1"/>
    <mergeCell ref="A7:B7"/>
    <mergeCell ref="A8:A9"/>
    <mergeCell ref="B8:B9"/>
    <mergeCell ref="A2:M2"/>
    <mergeCell ref="A3:M3"/>
    <mergeCell ref="F8:I8"/>
    <mergeCell ref="K32:M32"/>
    <mergeCell ref="K33:M33"/>
    <mergeCell ref="C8:E8"/>
    <mergeCell ref="J8:M8"/>
    <mergeCell ref="A5:M5"/>
    <mergeCell ref="C11:M23"/>
  </mergeCells>
  <printOptions horizontalCentered="1"/>
  <pageMargins left="0.26" right="0.38" top="0.5" bottom="0.28999999999999998" header="0.33" footer="0.22"/>
  <pageSetup paperSize="9" scale="81"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C00000"/>
    <pageSetUpPr fitToPage="1"/>
  </sheetPr>
  <dimension ref="A1:L29"/>
  <sheetViews>
    <sheetView view="pageBreakPreview" zoomScale="90" zoomScaleSheetLayoutView="90" workbookViewId="0">
      <selection activeCell="N16" sqref="N16"/>
    </sheetView>
  </sheetViews>
  <sheetFormatPr defaultRowHeight="12.75" x14ac:dyDescent="0.2"/>
  <cols>
    <col min="1" max="1" width="5.85546875" customWidth="1"/>
    <col min="2" max="6" width="13.5703125" customWidth="1"/>
    <col min="7" max="7" width="14.85546875" customWidth="1"/>
    <col min="8" max="8" width="12.42578125" customWidth="1"/>
    <col min="9" max="9" width="15.28515625" customWidth="1"/>
    <col min="10" max="10" width="14.28515625" customWidth="1"/>
    <col min="11" max="11" width="21.85546875" customWidth="1"/>
    <col min="12" max="12" width="9.140625" hidden="1" customWidth="1"/>
  </cols>
  <sheetData>
    <row r="1" spans="1:12" ht="18" x14ac:dyDescent="0.35">
      <c r="J1" s="1336" t="s">
        <v>686</v>
      </c>
      <c r="K1" s="1336"/>
    </row>
    <row r="2" spans="1:12" ht="18" x14ac:dyDescent="0.35">
      <c r="A2" s="1201" t="s">
        <v>0</v>
      </c>
      <c r="B2" s="1201"/>
      <c r="C2" s="1201"/>
      <c r="D2" s="1201"/>
      <c r="E2" s="1201"/>
      <c r="F2" s="1201"/>
      <c r="G2" s="1201"/>
      <c r="H2" s="1201"/>
      <c r="I2" s="1201"/>
      <c r="J2" s="1201"/>
      <c r="K2" s="1201"/>
    </row>
    <row r="3" spans="1:12" ht="18.75" x14ac:dyDescent="0.3">
      <c r="A3" s="1337" t="s">
        <v>794</v>
      </c>
      <c r="B3" s="1337"/>
      <c r="C3" s="1337"/>
      <c r="D3" s="1337"/>
      <c r="E3" s="1337"/>
      <c r="F3" s="1337"/>
      <c r="G3" s="1337"/>
      <c r="H3" s="1337"/>
      <c r="I3" s="1337"/>
      <c r="J3" s="1337"/>
      <c r="K3" s="1337"/>
    </row>
    <row r="4" spans="1:12" ht="15" x14ac:dyDescent="0.3">
      <c r="A4" s="113"/>
      <c r="B4" s="113"/>
      <c r="C4" s="113"/>
      <c r="D4" s="113"/>
      <c r="E4" s="113"/>
      <c r="F4" s="113"/>
      <c r="G4" s="113"/>
      <c r="H4" s="113"/>
      <c r="I4" s="113"/>
      <c r="J4" s="113"/>
      <c r="K4" s="113"/>
    </row>
    <row r="5" spans="1:12" ht="18" x14ac:dyDescent="0.35">
      <c r="A5" s="1338" t="s">
        <v>751</v>
      </c>
      <c r="B5" s="1338"/>
      <c r="C5" s="1338"/>
      <c r="D5" s="1338"/>
      <c r="E5" s="1338"/>
      <c r="F5" s="1338"/>
      <c r="G5" s="1338"/>
      <c r="H5" s="1338"/>
      <c r="I5" s="1338"/>
      <c r="J5" s="1338"/>
      <c r="K5" s="1338"/>
    </row>
    <row r="6" spans="1:12" ht="15" x14ac:dyDescent="0.3">
      <c r="A6" s="1000" t="s">
        <v>463</v>
      </c>
      <c r="B6" s="1000"/>
      <c r="C6" s="1000"/>
      <c r="D6" s="114"/>
      <c r="E6" s="114"/>
      <c r="F6" s="114"/>
      <c r="G6" s="114"/>
      <c r="H6" s="114"/>
      <c r="I6" s="113"/>
      <c r="J6" s="1188" t="s">
        <v>911</v>
      </c>
      <c r="K6" s="1188"/>
      <c r="L6" s="1188"/>
    </row>
    <row r="7" spans="1:12" ht="32.25" customHeight="1" x14ac:dyDescent="0.2">
      <c r="A7" s="1202" t="s">
        <v>2</v>
      </c>
      <c r="B7" s="1202" t="s">
        <v>3</v>
      </c>
      <c r="C7" s="1202" t="s">
        <v>469</v>
      </c>
      <c r="D7" s="1202" t="s">
        <v>333</v>
      </c>
      <c r="E7" s="1202"/>
      <c r="F7" s="1202"/>
      <c r="G7" s="1202"/>
      <c r="H7" s="1202"/>
      <c r="I7" s="1203" t="s">
        <v>334</v>
      </c>
      <c r="J7" s="1204"/>
      <c r="K7" s="1205"/>
    </row>
    <row r="8" spans="1:12" ht="90" customHeight="1" x14ac:dyDescent="0.2">
      <c r="A8" s="1202"/>
      <c r="B8" s="1202"/>
      <c r="C8" s="1202"/>
      <c r="D8" s="231" t="s">
        <v>335</v>
      </c>
      <c r="E8" s="231" t="s">
        <v>216</v>
      </c>
      <c r="F8" s="231" t="s">
        <v>336</v>
      </c>
      <c r="G8" s="231" t="s">
        <v>337</v>
      </c>
      <c r="H8" s="231" t="s">
        <v>687</v>
      </c>
      <c r="I8" s="231" t="s">
        <v>338</v>
      </c>
      <c r="J8" s="231" t="s">
        <v>339</v>
      </c>
      <c r="K8" s="826" t="s">
        <v>340</v>
      </c>
    </row>
    <row r="9" spans="1:12" ht="15" x14ac:dyDescent="0.2">
      <c r="A9" s="224" t="s">
        <v>293</v>
      </c>
      <c r="B9" s="224" t="s">
        <v>294</v>
      </c>
      <c r="C9" s="224" t="s">
        <v>295</v>
      </c>
      <c r="D9" s="224" t="s">
        <v>296</v>
      </c>
      <c r="E9" s="224" t="s">
        <v>297</v>
      </c>
      <c r="F9" s="224" t="s">
        <v>298</v>
      </c>
      <c r="G9" s="224" t="s">
        <v>299</v>
      </c>
      <c r="H9" s="224" t="s">
        <v>300</v>
      </c>
      <c r="I9" s="224" t="s">
        <v>321</v>
      </c>
      <c r="J9" s="224" t="s">
        <v>322</v>
      </c>
      <c r="K9" s="224" t="s">
        <v>323</v>
      </c>
    </row>
    <row r="10" spans="1:12" x14ac:dyDescent="0.2">
      <c r="A10" s="1339" t="s">
        <v>405</v>
      </c>
      <c r="B10" s="1340"/>
      <c r="C10" s="1340"/>
      <c r="D10" s="1340"/>
      <c r="E10" s="1340"/>
      <c r="F10" s="1340"/>
      <c r="G10" s="1340"/>
      <c r="H10" s="1340"/>
      <c r="I10" s="1340"/>
      <c r="J10" s="1340"/>
      <c r="K10" s="1341"/>
    </row>
    <row r="11" spans="1:12" x14ac:dyDescent="0.2">
      <c r="A11" s="1342"/>
      <c r="B11" s="1343"/>
      <c r="C11" s="1343"/>
      <c r="D11" s="1343"/>
      <c r="E11" s="1343"/>
      <c r="F11" s="1343"/>
      <c r="G11" s="1343"/>
      <c r="H11" s="1343"/>
      <c r="I11" s="1343"/>
      <c r="J11" s="1343"/>
      <c r="K11" s="1344"/>
    </row>
    <row r="12" spans="1:12" x14ac:dyDescent="0.2">
      <c r="A12" s="1342"/>
      <c r="B12" s="1343"/>
      <c r="C12" s="1343"/>
      <c r="D12" s="1343"/>
      <c r="E12" s="1343"/>
      <c r="F12" s="1343"/>
      <c r="G12" s="1343"/>
      <c r="H12" s="1343"/>
      <c r="I12" s="1343"/>
      <c r="J12" s="1343"/>
      <c r="K12" s="1344"/>
    </row>
    <row r="13" spans="1:12" x14ac:dyDescent="0.2">
      <c r="A13" s="1342"/>
      <c r="B13" s="1343"/>
      <c r="C13" s="1343"/>
      <c r="D13" s="1343"/>
      <c r="E13" s="1343"/>
      <c r="F13" s="1343"/>
      <c r="G13" s="1343"/>
      <c r="H13" s="1343"/>
      <c r="I13" s="1343"/>
      <c r="J13" s="1343"/>
      <c r="K13" s="1344"/>
    </row>
    <row r="14" spans="1:12" x14ac:dyDescent="0.2">
      <c r="A14" s="1342"/>
      <c r="B14" s="1343"/>
      <c r="C14" s="1343"/>
      <c r="D14" s="1343"/>
      <c r="E14" s="1343"/>
      <c r="F14" s="1343"/>
      <c r="G14" s="1343"/>
      <c r="H14" s="1343"/>
      <c r="I14" s="1343"/>
      <c r="J14" s="1343"/>
      <c r="K14" s="1344"/>
    </row>
    <row r="15" spans="1:12" x14ac:dyDescent="0.2">
      <c r="A15" s="1342"/>
      <c r="B15" s="1343"/>
      <c r="C15" s="1343"/>
      <c r="D15" s="1343"/>
      <c r="E15" s="1343"/>
      <c r="F15" s="1343"/>
      <c r="G15" s="1343"/>
      <c r="H15" s="1343"/>
      <c r="I15" s="1343"/>
      <c r="J15" s="1343"/>
      <c r="K15" s="1344"/>
    </row>
    <row r="16" spans="1:12" x14ac:dyDescent="0.2">
      <c r="A16" s="1342"/>
      <c r="B16" s="1343"/>
      <c r="C16" s="1343"/>
      <c r="D16" s="1343"/>
      <c r="E16" s="1343"/>
      <c r="F16" s="1343"/>
      <c r="G16" s="1343"/>
      <c r="H16" s="1343"/>
      <c r="I16" s="1343"/>
      <c r="J16" s="1343"/>
      <c r="K16" s="1344"/>
    </row>
    <row r="17" spans="1:12" x14ac:dyDescent="0.2">
      <c r="A17" s="1342"/>
      <c r="B17" s="1343"/>
      <c r="C17" s="1343"/>
      <c r="D17" s="1343"/>
      <c r="E17" s="1343"/>
      <c r="F17" s="1343"/>
      <c r="G17" s="1343"/>
      <c r="H17" s="1343"/>
      <c r="I17" s="1343"/>
      <c r="J17" s="1343"/>
      <c r="K17" s="1344"/>
    </row>
    <row r="18" spans="1:12" x14ac:dyDescent="0.2">
      <c r="A18" s="1342"/>
      <c r="B18" s="1343"/>
      <c r="C18" s="1343"/>
      <c r="D18" s="1343"/>
      <c r="E18" s="1343"/>
      <c r="F18" s="1343"/>
      <c r="G18" s="1343"/>
      <c r="H18" s="1343"/>
      <c r="I18" s="1343"/>
      <c r="J18" s="1343"/>
      <c r="K18" s="1344"/>
    </row>
    <row r="19" spans="1:12" x14ac:dyDescent="0.2">
      <c r="A19" s="1342"/>
      <c r="B19" s="1343"/>
      <c r="C19" s="1343"/>
      <c r="D19" s="1343"/>
      <c r="E19" s="1343"/>
      <c r="F19" s="1343"/>
      <c r="G19" s="1343"/>
      <c r="H19" s="1343"/>
      <c r="I19" s="1343"/>
      <c r="J19" s="1343"/>
      <c r="K19" s="1344"/>
    </row>
    <row r="20" spans="1:12" x14ac:dyDescent="0.2">
      <c r="A20" s="1342"/>
      <c r="B20" s="1343"/>
      <c r="C20" s="1343"/>
      <c r="D20" s="1343"/>
      <c r="E20" s="1343"/>
      <c r="F20" s="1343"/>
      <c r="G20" s="1343"/>
      <c r="H20" s="1343"/>
      <c r="I20" s="1343"/>
      <c r="J20" s="1343"/>
      <c r="K20" s="1344"/>
    </row>
    <row r="21" spans="1:12" x14ac:dyDescent="0.2">
      <c r="A21" s="1342"/>
      <c r="B21" s="1343"/>
      <c r="C21" s="1343"/>
      <c r="D21" s="1343"/>
      <c r="E21" s="1343"/>
      <c r="F21" s="1343"/>
      <c r="G21" s="1343"/>
      <c r="H21" s="1343"/>
      <c r="I21" s="1343"/>
      <c r="J21" s="1343"/>
      <c r="K21" s="1344"/>
    </row>
    <row r="22" spans="1:12" x14ac:dyDescent="0.2">
      <c r="A22" s="1345"/>
      <c r="B22" s="1346"/>
      <c r="C22" s="1346"/>
      <c r="D22" s="1346"/>
      <c r="E22" s="1346"/>
      <c r="F22" s="1346"/>
      <c r="G22" s="1346"/>
      <c r="H22" s="1346"/>
      <c r="I22" s="1346"/>
      <c r="J22" s="1346"/>
      <c r="K22" s="1347"/>
    </row>
    <row r="23" spans="1:12" x14ac:dyDescent="0.2">
      <c r="A23" s="11" t="s">
        <v>688</v>
      </c>
    </row>
    <row r="26" spans="1:12" x14ac:dyDescent="0.2">
      <c r="A26" s="116"/>
      <c r="B26" s="116"/>
      <c r="C26" s="116"/>
      <c r="D26" s="116"/>
      <c r="I26" s="1187" t="s">
        <v>12</v>
      </c>
      <c r="J26" s="1187"/>
      <c r="K26" s="1187"/>
    </row>
    <row r="27" spans="1:12" ht="15" customHeight="1" x14ac:dyDescent="0.2">
      <c r="A27" s="116"/>
      <c r="B27" s="116"/>
      <c r="C27" s="116"/>
      <c r="D27" s="116"/>
      <c r="I27" s="1187" t="s">
        <v>13</v>
      </c>
      <c r="J27" s="1187"/>
      <c r="K27" s="1187"/>
      <c r="L27" s="126"/>
    </row>
    <row r="28" spans="1:12" ht="15" customHeight="1" x14ac:dyDescent="0.2">
      <c r="A28" s="116"/>
      <c r="B28" s="116"/>
      <c r="C28" s="116"/>
      <c r="D28" s="116"/>
      <c r="I28" s="1187" t="s">
        <v>88</v>
      </c>
      <c r="J28" s="1187"/>
      <c r="K28" s="1187"/>
      <c r="L28" s="126"/>
    </row>
    <row r="29" spans="1:12" x14ac:dyDescent="0.2">
      <c r="A29" s="116" t="s">
        <v>11</v>
      </c>
      <c r="C29" s="116"/>
      <c r="D29" s="116"/>
      <c r="I29" s="1222" t="s">
        <v>85</v>
      </c>
      <c r="J29" s="1222"/>
      <c r="K29" s="120"/>
    </row>
  </sheetData>
  <mergeCells count="16">
    <mergeCell ref="I29:J29"/>
    <mergeCell ref="J1:K1"/>
    <mergeCell ref="A3:K3"/>
    <mergeCell ref="A5:K5"/>
    <mergeCell ref="J6:L6"/>
    <mergeCell ref="A10:K22"/>
    <mergeCell ref="I7:K7"/>
    <mergeCell ref="A2:K2"/>
    <mergeCell ref="I26:K26"/>
    <mergeCell ref="I27:K27"/>
    <mergeCell ref="I28:K28"/>
    <mergeCell ref="A7:A8"/>
    <mergeCell ref="B7:B8"/>
    <mergeCell ref="C7:C8"/>
    <mergeCell ref="D7:H7"/>
    <mergeCell ref="A6:C6"/>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C00000"/>
    <pageSetUpPr fitToPage="1"/>
  </sheetPr>
  <dimension ref="A1:Q24"/>
  <sheetViews>
    <sheetView view="pageBreakPreview" zoomScaleSheetLayoutView="100" workbookViewId="0">
      <selection activeCell="A9" sqref="A9:Q18"/>
    </sheetView>
  </sheetViews>
  <sheetFormatPr defaultRowHeight="12.75" x14ac:dyDescent="0.2"/>
  <cols>
    <col min="7" max="7" width="10.7109375" customWidth="1"/>
    <col min="8" max="8" width="11.5703125" customWidth="1"/>
    <col min="9" max="12" width="10.42578125" customWidth="1"/>
    <col min="13" max="13" width="11" customWidth="1"/>
    <col min="14" max="14" width="10" customWidth="1"/>
    <col min="15" max="15" width="11.85546875" customWidth="1"/>
    <col min="17" max="17" width="10.5703125" customWidth="1"/>
  </cols>
  <sheetData>
    <row r="1" spans="1:17" x14ac:dyDescent="0.2">
      <c r="P1" s="133" t="s">
        <v>689</v>
      </c>
    </row>
    <row r="2" spans="1:17" ht="18" x14ac:dyDescent="0.35">
      <c r="A2" s="1201" t="s">
        <v>0</v>
      </c>
      <c r="B2" s="1201"/>
      <c r="C2" s="1201"/>
      <c r="D2" s="1201"/>
      <c r="E2" s="1201"/>
      <c r="F2" s="1201"/>
      <c r="G2" s="1201"/>
      <c r="H2" s="1201"/>
      <c r="I2" s="1201"/>
      <c r="J2" s="1201"/>
      <c r="K2" s="1201"/>
      <c r="L2" s="1201"/>
      <c r="M2" s="1201"/>
      <c r="N2" s="1201"/>
      <c r="O2" s="1201"/>
    </row>
    <row r="3" spans="1:17" ht="18" x14ac:dyDescent="0.35">
      <c r="A3" s="1201" t="s">
        <v>794</v>
      </c>
      <c r="B3" s="1201"/>
      <c r="C3" s="1201"/>
      <c r="D3" s="1201"/>
      <c r="E3" s="1201"/>
      <c r="F3" s="1201"/>
      <c r="G3" s="1201"/>
      <c r="H3" s="1201"/>
      <c r="I3" s="1201"/>
      <c r="J3" s="1201"/>
      <c r="K3" s="1201"/>
      <c r="L3" s="1201"/>
      <c r="M3" s="1201"/>
      <c r="N3" s="1201"/>
      <c r="O3" s="1201"/>
    </row>
    <row r="4" spans="1:17" ht="18.75" x14ac:dyDescent="0.3">
      <c r="A4" s="1208" t="s">
        <v>690</v>
      </c>
      <c r="B4" s="1208"/>
      <c r="C4" s="1208"/>
      <c r="D4" s="1208"/>
      <c r="E4" s="1208"/>
      <c r="F4" s="1208"/>
      <c r="G4" s="1208"/>
      <c r="H4" s="1208"/>
      <c r="I4" s="1208"/>
      <c r="J4" s="1208"/>
      <c r="K4" s="1208"/>
      <c r="L4" s="1208"/>
      <c r="M4" s="1208"/>
      <c r="N4" s="1208"/>
      <c r="O4" s="1208"/>
      <c r="P4" s="1208"/>
      <c r="Q4" s="1208"/>
    </row>
    <row r="5" spans="1:17" ht="15" x14ac:dyDescent="0.3">
      <c r="A5" s="1000" t="s">
        <v>463</v>
      </c>
      <c r="B5" s="1000"/>
      <c r="C5" s="1000"/>
      <c r="D5" s="114"/>
      <c r="E5" s="114"/>
      <c r="F5" s="114"/>
      <c r="G5" s="114"/>
      <c r="H5" s="114"/>
      <c r="I5" s="114"/>
      <c r="J5" s="114"/>
      <c r="K5" s="113"/>
      <c r="O5" s="1116" t="s">
        <v>911</v>
      </c>
      <c r="P5" s="1116"/>
      <c r="Q5" s="1116"/>
    </row>
    <row r="6" spans="1:17" ht="47.25" customHeight="1" x14ac:dyDescent="0.2">
      <c r="A6" s="1202" t="s">
        <v>2</v>
      </c>
      <c r="B6" s="1202" t="s">
        <v>3</v>
      </c>
      <c r="C6" s="1202" t="s">
        <v>468</v>
      </c>
      <c r="D6" s="1206" t="s">
        <v>341</v>
      </c>
      <c r="E6" s="1206" t="s">
        <v>342</v>
      </c>
      <c r="F6" s="1206" t="s">
        <v>343</v>
      </c>
      <c r="G6" s="1206" t="s">
        <v>344</v>
      </c>
      <c r="H6" s="1202" t="s">
        <v>345</v>
      </c>
      <c r="I6" s="1202"/>
      <c r="J6" s="1202" t="s">
        <v>346</v>
      </c>
      <c r="K6" s="1202"/>
      <c r="L6" s="1202" t="s">
        <v>347</v>
      </c>
      <c r="M6" s="1202"/>
      <c r="N6" s="1202" t="s">
        <v>348</v>
      </c>
      <c r="O6" s="1202"/>
      <c r="P6" s="1064" t="s">
        <v>556</v>
      </c>
      <c r="Q6" s="1064"/>
    </row>
    <row r="7" spans="1:17" ht="60.75" customHeight="1" x14ac:dyDescent="0.2">
      <c r="A7" s="1202"/>
      <c r="B7" s="1202"/>
      <c r="C7" s="1202"/>
      <c r="D7" s="1207"/>
      <c r="E7" s="1207"/>
      <c r="F7" s="1207"/>
      <c r="G7" s="1207"/>
      <c r="H7" s="231" t="s">
        <v>349</v>
      </c>
      <c r="I7" s="231" t="s">
        <v>350</v>
      </c>
      <c r="J7" s="231" t="s">
        <v>349</v>
      </c>
      <c r="K7" s="231" t="s">
        <v>350</v>
      </c>
      <c r="L7" s="231" t="s">
        <v>349</v>
      </c>
      <c r="M7" s="231" t="s">
        <v>350</v>
      </c>
      <c r="N7" s="231" t="s">
        <v>349</v>
      </c>
      <c r="O7" s="231" t="s">
        <v>350</v>
      </c>
      <c r="P7" s="231" t="s">
        <v>349</v>
      </c>
      <c r="Q7" s="231" t="s">
        <v>350</v>
      </c>
    </row>
    <row r="8" spans="1:17" ht="15" x14ac:dyDescent="0.2">
      <c r="A8" s="224" t="s">
        <v>293</v>
      </c>
      <c r="B8" s="224" t="s">
        <v>294</v>
      </c>
      <c r="C8" s="224" t="s">
        <v>295</v>
      </c>
      <c r="D8" s="224" t="s">
        <v>296</v>
      </c>
      <c r="E8" s="224" t="s">
        <v>297</v>
      </c>
      <c r="F8" s="224" t="s">
        <v>298</v>
      </c>
      <c r="G8" s="224" t="s">
        <v>299</v>
      </c>
      <c r="H8" s="224" t="s">
        <v>300</v>
      </c>
      <c r="I8" s="224" t="s">
        <v>321</v>
      </c>
      <c r="J8" s="224" t="s">
        <v>322</v>
      </c>
      <c r="K8" s="224" t="s">
        <v>323</v>
      </c>
      <c r="L8" s="224" t="s">
        <v>351</v>
      </c>
      <c r="M8" s="224" t="s">
        <v>352</v>
      </c>
      <c r="N8" s="224" t="s">
        <v>353</v>
      </c>
      <c r="O8" s="224" t="s">
        <v>354</v>
      </c>
      <c r="P8" s="314" t="s">
        <v>557</v>
      </c>
      <c r="Q8" s="314" t="s">
        <v>558</v>
      </c>
    </row>
    <row r="9" spans="1:17" ht="12.75" customHeight="1" x14ac:dyDescent="0.2">
      <c r="A9" s="1348" t="s">
        <v>405</v>
      </c>
      <c r="B9" s="1349"/>
      <c r="C9" s="1349"/>
      <c r="D9" s="1349"/>
      <c r="E9" s="1349"/>
      <c r="F9" s="1349"/>
      <c r="G9" s="1349"/>
      <c r="H9" s="1349"/>
      <c r="I9" s="1349"/>
      <c r="J9" s="1349"/>
      <c r="K9" s="1349"/>
      <c r="L9" s="1349"/>
      <c r="M9" s="1349"/>
      <c r="N9" s="1349"/>
      <c r="O9" s="1349"/>
      <c r="P9" s="1349"/>
      <c r="Q9" s="1350"/>
    </row>
    <row r="10" spans="1:17" ht="12.75" customHeight="1" x14ac:dyDescent="0.2">
      <c r="A10" s="1351"/>
      <c r="B10" s="1352"/>
      <c r="C10" s="1352"/>
      <c r="D10" s="1352"/>
      <c r="E10" s="1352"/>
      <c r="F10" s="1352"/>
      <c r="G10" s="1352"/>
      <c r="H10" s="1352"/>
      <c r="I10" s="1352"/>
      <c r="J10" s="1352"/>
      <c r="K10" s="1352"/>
      <c r="L10" s="1352"/>
      <c r="M10" s="1352"/>
      <c r="N10" s="1352"/>
      <c r="O10" s="1352"/>
      <c r="P10" s="1352"/>
      <c r="Q10" s="1353"/>
    </row>
    <row r="11" spans="1:17" ht="12.75" customHeight="1" x14ac:dyDescent="0.2">
      <c r="A11" s="1351"/>
      <c r="B11" s="1352"/>
      <c r="C11" s="1352"/>
      <c r="D11" s="1352"/>
      <c r="E11" s="1352"/>
      <c r="F11" s="1352"/>
      <c r="G11" s="1352"/>
      <c r="H11" s="1352"/>
      <c r="I11" s="1352"/>
      <c r="J11" s="1352"/>
      <c r="K11" s="1352"/>
      <c r="L11" s="1352"/>
      <c r="M11" s="1352"/>
      <c r="N11" s="1352"/>
      <c r="O11" s="1352"/>
      <c r="P11" s="1352"/>
      <c r="Q11" s="1353"/>
    </row>
    <row r="12" spans="1:17" ht="12.75" customHeight="1" x14ac:dyDescent="0.2">
      <c r="A12" s="1351"/>
      <c r="B12" s="1352"/>
      <c r="C12" s="1352"/>
      <c r="D12" s="1352"/>
      <c r="E12" s="1352"/>
      <c r="F12" s="1352"/>
      <c r="G12" s="1352"/>
      <c r="H12" s="1352"/>
      <c r="I12" s="1352"/>
      <c r="J12" s="1352"/>
      <c r="K12" s="1352"/>
      <c r="L12" s="1352"/>
      <c r="M12" s="1352"/>
      <c r="N12" s="1352"/>
      <c r="O12" s="1352"/>
      <c r="P12" s="1352"/>
      <c r="Q12" s="1353"/>
    </row>
    <row r="13" spans="1:17" ht="12.75" customHeight="1" x14ac:dyDescent="0.2">
      <c r="A13" s="1351"/>
      <c r="B13" s="1352"/>
      <c r="C13" s="1352"/>
      <c r="D13" s="1352"/>
      <c r="E13" s="1352"/>
      <c r="F13" s="1352"/>
      <c r="G13" s="1352"/>
      <c r="H13" s="1352"/>
      <c r="I13" s="1352"/>
      <c r="J13" s="1352"/>
      <c r="K13" s="1352"/>
      <c r="L13" s="1352"/>
      <c r="M13" s="1352"/>
      <c r="N13" s="1352"/>
      <c r="O13" s="1352"/>
      <c r="P13" s="1352"/>
      <c r="Q13" s="1353"/>
    </row>
    <row r="14" spans="1:17" ht="12.75" customHeight="1" x14ac:dyDescent="0.2">
      <c r="A14" s="1351"/>
      <c r="B14" s="1352"/>
      <c r="C14" s="1352"/>
      <c r="D14" s="1352"/>
      <c r="E14" s="1352"/>
      <c r="F14" s="1352"/>
      <c r="G14" s="1352"/>
      <c r="H14" s="1352"/>
      <c r="I14" s="1352"/>
      <c r="J14" s="1352"/>
      <c r="K14" s="1352"/>
      <c r="L14" s="1352"/>
      <c r="M14" s="1352"/>
      <c r="N14" s="1352"/>
      <c r="O14" s="1352"/>
      <c r="P14" s="1352"/>
      <c r="Q14" s="1353"/>
    </row>
    <row r="15" spans="1:17" ht="12.75" customHeight="1" x14ac:dyDescent="0.2">
      <c r="A15" s="1351"/>
      <c r="B15" s="1352"/>
      <c r="C15" s="1352"/>
      <c r="D15" s="1352"/>
      <c r="E15" s="1352"/>
      <c r="F15" s="1352"/>
      <c r="G15" s="1352"/>
      <c r="H15" s="1352"/>
      <c r="I15" s="1352"/>
      <c r="J15" s="1352"/>
      <c r="K15" s="1352"/>
      <c r="L15" s="1352"/>
      <c r="M15" s="1352"/>
      <c r="N15" s="1352"/>
      <c r="O15" s="1352"/>
      <c r="P15" s="1352"/>
      <c r="Q15" s="1353"/>
    </row>
    <row r="16" spans="1:17" ht="12.75" customHeight="1" x14ac:dyDescent="0.2">
      <c r="A16" s="1351"/>
      <c r="B16" s="1352"/>
      <c r="C16" s="1352"/>
      <c r="D16" s="1352"/>
      <c r="E16" s="1352"/>
      <c r="F16" s="1352"/>
      <c r="G16" s="1352"/>
      <c r="H16" s="1352"/>
      <c r="I16" s="1352"/>
      <c r="J16" s="1352"/>
      <c r="K16" s="1352"/>
      <c r="L16" s="1352"/>
      <c r="M16" s="1352"/>
      <c r="N16" s="1352"/>
      <c r="O16" s="1352"/>
      <c r="P16" s="1352"/>
      <c r="Q16" s="1353"/>
    </row>
    <row r="17" spans="1:17" ht="12.75" customHeight="1" x14ac:dyDescent="0.2">
      <c r="A17" s="1351"/>
      <c r="B17" s="1352"/>
      <c r="C17" s="1352"/>
      <c r="D17" s="1352"/>
      <c r="E17" s="1352"/>
      <c r="F17" s="1352"/>
      <c r="G17" s="1352"/>
      <c r="H17" s="1352"/>
      <c r="I17" s="1352"/>
      <c r="J17" s="1352"/>
      <c r="K17" s="1352"/>
      <c r="L17" s="1352"/>
      <c r="M17" s="1352"/>
      <c r="N17" s="1352"/>
      <c r="O17" s="1352"/>
      <c r="P17" s="1352"/>
      <c r="Q17" s="1353"/>
    </row>
    <row r="18" spans="1:17" ht="12.75" customHeight="1" x14ac:dyDescent="0.2">
      <c r="A18" s="1354"/>
      <c r="B18" s="1355"/>
      <c r="C18" s="1355"/>
      <c r="D18" s="1355"/>
      <c r="E18" s="1355"/>
      <c r="F18" s="1355"/>
      <c r="G18" s="1355"/>
      <c r="H18" s="1355"/>
      <c r="I18" s="1355"/>
      <c r="J18" s="1355"/>
      <c r="K18" s="1355"/>
      <c r="L18" s="1355"/>
      <c r="M18" s="1355"/>
      <c r="N18" s="1355"/>
      <c r="O18" s="1355"/>
      <c r="P18" s="1355"/>
      <c r="Q18" s="1356"/>
    </row>
    <row r="21" spans="1:17" x14ac:dyDescent="0.2">
      <c r="A21" s="116"/>
      <c r="B21" s="116"/>
      <c r="C21" s="116"/>
      <c r="D21" s="116"/>
      <c r="L21" s="1187" t="s">
        <v>12</v>
      </c>
      <c r="M21" s="1187"/>
      <c r="N21" s="1187"/>
      <c r="O21" s="1187"/>
    </row>
    <row r="22" spans="1:17" x14ac:dyDescent="0.2">
      <c r="A22" s="116"/>
      <c r="B22" s="116"/>
      <c r="C22" s="116"/>
      <c r="D22" s="116"/>
      <c r="L22" s="1187" t="s">
        <v>13</v>
      </c>
      <c r="M22" s="1187"/>
      <c r="N22" s="1187"/>
      <c r="O22" s="1187"/>
    </row>
    <row r="23" spans="1:17" x14ac:dyDescent="0.2">
      <c r="A23" s="116"/>
      <c r="B23" s="116"/>
      <c r="C23" s="116"/>
      <c r="D23" s="116"/>
      <c r="L23" s="1187" t="s">
        <v>88</v>
      </c>
      <c r="M23" s="1187"/>
      <c r="N23" s="1187"/>
      <c r="O23" s="1187"/>
    </row>
    <row r="24" spans="1:17" x14ac:dyDescent="0.2">
      <c r="A24" s="116" t="s">
        <v>11</v>
      </c>
      <c r="C24" s="116"/>
      <c r="D24" s="116"/>
      <c r="L24" s="1222" t="s">
        <v>85</v>
      </c>
      <c r="M24" s="1222"/>
      <c r="N24" s="1222"/>
      <c r="O24" s="120"/>
    </row>
  </sheetData>
  <mergeCells count="22">
    <mergeCell ref="A2:O2"/>
    <mergeCell ref="B6:B7"/>
    <mergeCell ref="F6:F7"/>
    <mergeCell ref="D6:D7"/>
    <mergeCell ref="C6:C7"/>
    <mergeCell ref="N6:O6"/>
    <mergeCell ref="A4:Q4"/>
    <mergeCell ref="A3:O3"/>
    <mergeCell ref="A6:A7"/>
    <mergeCell ref="A5:C5"/>
    <mergeCell ref="E6:E7"/>
    <mergeCell ref="O5:Q5"/>
    <mergeCell ref="L24:N24"/>
    <mergeCell ref="G6:G7"/>
    <mergeCell ref="H6:I6"/>
    <mergeCell ref="J6:K6"/>
    <mergeCell ref="L6:M6"/>
    <mergeCell ref="L23:O23"/>
    <mergeCell ref="A9:Q18"/>
    <mergeCell ref="P6:Q6"/>
    <mergeCell ref="L21:O21"/>
    <mergeCell ref="L22:O22"/>
  </mergeCells>
  <printOptions horizontalCentered="1"/>
  <pageMargins left="0.70866141732283472" right="0.70866141732283472" top="0.23622047244094491" bottom="0" header="0.31496062992125984" footer="0.31496062992125984"/>
  <pageSetup paperSize="9" scale="78"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C00000"/>
    <pageSetUpPr fitToPage="1"/>
  </sheetPr>
  <dimension ref="A1:Q33"/>
  <sheetViews>
    <sheetView view="pageBreakPreview" topLeftCell="A6" zoomScale="89" zoomScaleSheetLayoutView="89" workbookViewId="0">
      <selection activeCell="N16" sqref="N16"/>
    </sheetView>
  </sheetViews>
  <sheetFormatPr defaultRowHeight="12.75" x14ac:dyDescent="0.2"/>
  <cols>
    <col min="1" max="1" width="2.42578125" style="116" customWidth="1"/>
    <col min="2" max="2" width="8.5703125" style="116" customWidth="1"/>
    <col min="3" max="3" width="24.5703125" style="116" customWidth="1"/>
    <col min="4" max="5" width="15.140625" style="116" customWidth="1"/>
    <col min="6" max="17" width="9.5703125" style="116" customWidth="1"/>
    <col min="18" max="16384" width="9.140625" style="116"/>
  </cols>
  <sheetData>
    <row r="1" spans="1:17" x14ac:dyDescent="0.2">
      <c r="A1" s="116" t="s">
        <v>10</v>
      </c>
      <c r="I1" s="1222"/>
      <c r="J1" s="1222"/>
      <c r="M1" s="186" t="s">
        <v>691</v>
      </c>
      <c r="N1" s="186"/>
      <c r="O1" s="186"/>
      <c r="P1" s="186"/>
    </row>
    <row r="2" spans="1:17" s="119" customFormat="1" ht="15.75" x14ac:dyDescent="0.25">
      <c r="A2" s="1133" t="s">
        <v>0</v>
      </c>
      <c r="B2" s="1133"/>
      <c r="C2" s="1133"/>
      <c r="D2" s="1133"/>
      <c r="E2" s="1133"/>
      <c r="F2" s="1133"/>
      <c r="G2" s="1133"/>
      <c r="H2" s="1133"/>
      <c r="I2" s="1133"/>
      <c r="J2" s="1133"/>
      <c r="K2" s="1133"/>
      <c r="L2" s="1133"/>
      <c r="M2" s="1133"/>
      <c r="N2" s="1133"/>
      <c r="O2" s="1133"/>
      <c r="P2" s="1133"/>
      <c r="Q2" s="1133"/>
    </row>
    <row r="3" spans="1:17" s="119" customFormat="1" ht="20.25" customHeight="1" x14ac:dyDescent="0.25">
      <c r="A3" s="1133" t="s">
        <v>794</v>
      </c>
      <c r="B3" s="1133"/>
      <c r="C3" s="1133"/>
      <c r="D3" s="1133"/>
      <c r="E3" s="1133"/>
      <c r="F3" s="1133"/>
      <c r="G3" s="1133"/>
      <c r="H3" s="1133"/>
      <c r="I3" s="1133"/>
      <c r="J3" s="1133"/>
      <c r="K3" s="1133"/>
      <c r="L3" s="1133"/>
      <c r="M3" s="1133"/>
      <c r="N3" s="1133"/>
      <c r="O3" s="1133"/>
      <c r="P3" s="1133"/>
      <c r="Q3" s="1133"/>
    </row>
    <row r="4" spans="1:17" s="119" customFormat="1" ht="18" x14ac:dyDescent="0.25">
      <c r="A4" s="1127" t="s">
        <v>834</v>
      </c>
      <c r="B4" s="1127"/>
      <c r="C4" s="1127"/>
      <c r="D4" s="1127"/>
      <c r="E4" s="1127"/>
      <c r="F4" s="1127"/>
      <c r="G4" s="1127"/>
      <c r="H4" s="1127"/>
      <c r="I4" s="1127"/>
      <c r="J4" s="1127"/>
      <c r="K4" s="1127"/>
      <c r="L4" s="1127"/>
      <c r="M4" s="1127"/>
      <c r="N4" s="1127"/>
      <c r="O4" s="1127"/>
      <c r="P4" s="1127"/>
      <c r="Q4" s="1127"/>
    </row>
    <row r="6" spans="1:17" x14ac:dyDescent="0.2">
      <c r="B6" s="1000" t="s">
        <v>463</v>
      </c>
      <c r="C6" s="1000"/>
      <c r="D6" s="1000"/>
      <c r="E6" s="121"/>
      <c r="F6" s="121"/>
      <c r="G6" s="121"/>
      <c r="H6" s="121"/>
      <c r="I6" s="121"/>
      <c r="J6" s="121"/>
      <c r="K6" s="121"/>
    </row>
    <row r="8" spans="1:17" s="122" customFormat="1" ht="15" customHeight="1" x14ac:dyDescent="0.2">
      <c r="A8" s="116"/>
      <c r="B8" s="116"/>
      <c r="C8" s="116"/>
      <c r="D8" s="116"/>
      <c r="E8" s="116"/>
      <c r="F8" s="116"/>
      <c r="G8" s="116"/>
      <c r="H8" s="116"/>
      <c r="I8" s="116"/>
      <c r="J8" s="116"/>
      <c r="K8" s="116"/>
      <c r="L8" s="1098" t="s">
        <v>927</v>
      </c>
      <c r="M8" s="1098"/>
      <c r="N8" s="1098"/>
      <c r="O8" s="1098"/>
      <c r="P8" s="1098"/>
      <c r="Q8" s="1098"/>
    </row>
    <row r="9" spans="1:17" s="122" customFormat="1" ht="20.25" customHeight="1" x14ac:dyDescent="0.2">
      <c r="A9" s="123"/>
      <c r="B9" s="1206" t="s">
        <v>2</v>
      </c>
      <c r="C9" s="1206" t="s">
        <v>3</v>
      </c>
      <c r="D9" s="1358" t="s">
        <v>303</v>
      </c>
      <c r="E9" s="1358" t="s">
        <v>482</v>
      </c>
      <c r="F9" s="1360" t="s">
        <v>304</v>
      </c>
      <c r="G9" s="1360"/>
      <c r="H9" s="1360"/>
      <c r="I9" s="1360"/>
      <c r="J9" s="1360"/>
      <c r="K9" s="1360"/>
      <c r="L9" s="1360"/>
      <c r="M9" s="1360"/>
      <c r="N9" s="1360"/>
      <c r="O9" s="1360"/>
      <c r="P9" s="1360"/>
      <c r="Q9" s="1360"/>
    </row>
    <row r="10" spans="1:17" s="122" customFormat="1" ht="54" customHeight="1" x14ac:dyDescent="0.25">
      <c r="A10" s="124"/>
      <c r="B10" s="1237"/>
      <c r="C10" s="1237"/>
      <c r="D10" s="1359"/>
      <c r="E10" s="1359"/>
      <c r="F10" s="281" t="s">
        <v>305</v>
      </c>
      <c r="G10" s="281" t="s">
        <v>306</v>
      </c>
      <c r="H10" s="281" t="s">
        <v>307</v>
      </c>
      <c r="I10" s="281" t="s">
        <v>308</v>
      </c>
      <c r="J10" s="281" t="s">
        <v>309</v>
      </c>
      <c r="K10" s="281" t="s">
        <v>310</v>
      </c>
      <c r="L10" s="281" t="s">
        <v>311</v>
      </c>
      <c r="M10" s="281" t="s">
        <v>312</v>
      </c>
      <c r="N10" s="281" t="s">
        <v>313</v>
      </c>
      <c r="O10" s="281" t="s">
        <v>924</v>
      </c>
      <c r="P10" s="281" t="s">
        <v>925</v>
      </c>
      <c r="Q10" s="281" t="s">
        <v>926</v>
      </c>
    </row>
    <row r="11" spans="1:17" s="122" customFormat="1" ht="12.75" customHeight="1" x14ac:dyDescent="0.2">
      <c r="B11" s="282">
        <v>1</v>
      </c>
      <c r="C11" s="282">
        <v>2</v>
      </c>
      <c r="D11" s="282">
        <v>3</v>
      </c>
      <c r="E11" s="282">
        <v>4</v>
      </c>
      <c r="F11" s="282">
        <v>5</v>
      </c>
      <c r="G11" s="282">
        <v>6</v>
      </c>
      <c r="H11" s="282">
        <v>7</v>
      </c>
      <c r="I11" s="282">
        <v>8</v>
      </c>
      <c r="J11" s="282">
        <v>9</v>
      </c>
      <c r="K11" s="282">
        <v>10</v>
      </c>
      <c r="L11" s="282">
        <v>11</v>
      </c>
      <c r="M11" s="282">
        <v>12</v>
      </c>
      <c r="N11" s="282">
        <v>13</v>
      </c>
      <c r="O11" s="282">
        <v>14</v>
      </c>
      <c r="P11" s="282">
        <v>15</v>
      </c>
      <c r="Q11" s="282">
        <v>16</v>
      </c>
    </row>
    <row r="12" spans="1:17" ht="20.100000000000001" customHeight="1" x14ac:dyDescent="0.2">
      <c r="B12" s="194">
        <v>1</v>
      </c>
      <c r="C12" s="225" t="s">
        <v>392</v>
      </c>
      <c r="D12" s="270">
        <v>1864</v>
      </c>
      <c r="E12" s="270">
        <v>1864</v>
      </c>
      <c r="F12" s="270">
        <v>1864</v>
      </c>
      <c r="G12" s="270">
        <v>1864</v>
      </c>
      <c r="H12" s="270">
        <v>1864</v>
      </c>
      <c r="I12" s="270">
        <v>1864</v>
      </c>
      <c r="J12" s="270">
        <v>1864</v>
      </c>
      <c r="K12" s="270">
        <v>1864</v>
      </c>
      <c r="L12" s="270">
        <v>1864</v>
      </c>
      <c r="M12" s="270">
        <v>1864</v>
      </c>
      <c r="N12" s="270">
        <v>1864</v>
      </c>
      <c r="O12" s="270">
        <v>1864</v>
      </c>
      <c r="P12" s="270">
        <v>1864</v>
      </c>
      <c r="Q12" s="270">
        <v>1864</v>
      </c>
    </row>
    <row r="13" spans="1:17" ht="20.100000000000001" customHeight="1" x14ac:dyDescent="0.2">
      <c r="A13" s="125"/>
      <c r="B13" s="194">
        <v>2</v>
      </c>
      <c r="C13" s="225" t="s">
        <v>393</v>
      </c>
      <c r="D13" s="270">
        <v>819</v>
      </c>
      <c r="E13" s="270">
        <v>819</v>
      </c>
      <c r="F13" s="270">
        <v>819</v>
      </c>
      <c r="G13" s="270">
        <v>819</v>
      </c>
      <c r="H13" s="270">
        <v>819</v>
      </c>
      <c r="I13" s="270">
        <v>819</v>
      </c>
      <c r="J13" s="270">
        <v>819</v>
      </c>
      <c r="K13" s="270">
        <v>819</v>
      </c>
      <c r="L13" s="270">
        <v>819</v>
      </c>
      <c r="M13" s="270">
        <v>819</v>
      </c>
      <c r="N13" s="270">
        <v>819</v>
      </c>
      <c r="O13" s="270">
        <v>819</v>
      </c>
      <c r="P13" s="270">
        <v>819</v>
      </c>
      <c r="Q13" s="270">
        <v>819</v>
      </c>
    </row>
    <row r="14" spans="1:17" ht="20.100000000000001" customHeight="1" x14ac:dyDescent="0.2">
      <c r="B14" s="194">
        <v>3</v>
      </c>
      <c r="C14" s="225" t="s">
        <v>394</v>
      </c>
      <c r="D14" s="270">
        <v>1406</v>
      </c>
      <c r="E14" s="270">
        <v>1406</v>
      </c>
      <c r="F14" s="270">
        <v>1406</v>
      </c>
      <c r="G14" s="270">
        <v>1406</v>
      </c>
      <c r="H14" s="270">
        <v>1406</v>
      </c>
      <c r="I14" s="270">
        <v>1406</v>
      </c>
      <c r="J14" s="270">
        <v>1406</v>
      </c>
      <c r="K14" s="270">
        <v>1406</v>
      </c>
      <c r="L14" s="270">
        <v>1406</v>
      </c>
      <c r="M14" s="270">
        <v>1406</v>
      </c>
      <c r="N14" s="270">
        <v>1406</v>
      </c>
      <c r="O14" s="270">
        <v>1406</v>
      </c>
      <c r="P14" s="270">
        <v>1406</v>
      </c>
      <c r="Q14" s="270">
        <v>1406</v>
      </c>
    </row>
    <row r="15" spans="1:17" s="87" customFormat="1" ht="20.100000000000001" customHeight="1" x14ac:dyDescent="0.2">
      <c r="B15" s="194">
        <v>4</v>
      </c>
      <c r="C15" s="225" t="s">
        <v>395</v>
      </c>
      <c r="D15" s="270">
        <v>714</v>
      </c>
      <c r="E15" s="270">
        <v>714</v>
      </c>
      <c r="F15" s="270">
        <v>714</v>
      </c>
      <c r="G15" s="270">
        <v>714</v>
      </c>
      <c r="H15" s="270">
        <v>714</v>
      </c>
      <c r="I15" s="270">
        <v>714</v>
      </c>
      <c r="J15" s="270">
        <v>714</v>
      </c>
      <c r="K15" s="270">
        <v>714</v>
      </c>
      <c r="L15" s="270">
        <v>714</v>
      </c>
      <c r="M15" s="270">
        <v>714</v>
      </c>
      <c r="N15" s="270">
        <v>714</v>
      </c>
      <c r="O15" s="270">
        <v>714</v>
      </c>
      <c r="P15" s="270">
        <v>714</v>
      </c>
      <c r="Q15" s="270">
        <v>714</v>
      </c>
    </row>
    <row r="16" spans="1:17" s="87" customFormat="1" ht="20.100000000000001" customHeight="1" x14ac:dyDescent="0.2">
      <c r="B16" s="194">
        <v>5</v>
      </c>
      <c r="C16" s="227" t="s">
        <v>396</v>
      </c>
      <c r="D16" s="244">
        <v>1442</v>
      </c>
      <c r="E16" s="244">
        <v>1442</v>
      </c>
      <c r="F16" s="244">
        <v>1442</v>
      </c>
      <c r="G16" s="244">
        <v>1442</v>
      </c>
      <c r="H16" s="244">
        <v>1442</v>
      </c>
      <c r="I16" s="244">
        <v>1442</v>
      </c>
      <c r="J16" s="244">
        <v>1442</v>
      </c>
      <c r="K16" s="244">
        <v>1442</v>
      </c>
      <c r="L16" s="244">
        <v>1442</v>
      </c>
      <c r="M16" s="244">
        <v>1442</v>
      </c>
      <c r="N16" s="244">
        <v>1442</v>
      </c>
      <c r="O16" s="244">
        <v>1442</v>
      </c>
      <c r="P16" s="244">
        <v>1442</v>
      </c>
      <c r="Q16" s="244">
        <v>1442</v>
      </c>
    </row>
    <row r="17" spans="1:17" s="87" customFormat="1" ht="20.100000000000001" customHeight="1" x14ac:dyDescent="0.2">
      <c r="A17" s="126" t="s">
        <v>314</v>
      </c>
      <c r="B17" s="194">
        <v>6</v>
      </c>
      <c r="C17" s="225" t="s">
        <v>397</v>
      </c>
      <c r="D17" s="244">
        <v>1086</v>
      </c>
      <c r="E17" s="244">
        <v>1086</v>
      </c>
      <c r="F17" s="244">
        <v>1086</v>
      </c>
      <c r="G17" s="244">
        <v>1086</v>
      </c>
      <c r="H17" s="244">
        <v>1086</v>
      </c>
      <c r="I17" s="244">
        <v>1086</v>
      </c>
      <c r="J17" s="244">
        <v>1086</v>
      </c>
      <c r="K17" s="244">
        <v>1086</v>
      </c>
      <c r="L17" s="244">
        <v>1086</v>
      </c>
      <c r="M17" s="244">
        <v>1086</v>
      </c>
      <c r="N17" s="244">
        <v>1086</v>
      </c>
      <c r="O17" s="244">
        <v>1086</v>
      </c>
      <c r="P17" s="244">
        <v>1086</v>
      </c>
      <c r="Q17" s="244">
        <v>1086</v>
      </c>
    </row>
    <row r="18" spans="1:17" ht="20.100000000000001" customHeight="1" x14ac:dyDescent="0.2">
      <c r="B18" s="194">
        <v>7</v>
      </c>
      <c r="C18" s="227" t="s">
        <v>398</v>
      </c>
      <c r="D18" s="270">
        <v>1427</v>
      </c>
      <c r="E18" s="270">
        <v>1427</v>
      </c>
      <c r="F18" s="270">
        <v>1427</v>
      </c>
      <c r="G18" s="270">
        <v>1427</v>
      </c>
      <c r="H18" s="270">
        <v>1427</v>
      </c>
      <c r="I18" s="270">
        <v>1427</v>
      </c>
      <c r="J18" s="270">
        <v>1427</v>
      </c>
      <c r="K18" s="270">
        <v>1427</v>
      </c>
      <c r="L18" s="270">
        <v>1427</v>
      </c>
      <c r="M18" s="270">
        <v>1427</v>
      </c>
      <c r="N18" s="270">
        <v>1427</v>
      </c>
      <c r="O18" s="270">
        <v>1427</v>
      </c>
      <c r="P18" s="270">
        <v>1427</v>
      </c>
      <c r="Q18" s="270">
        <v>1427</v>
      </c>
    </row>
    <row r="19" spans="1:17" ht="20.100000000000001" customHeight="1" x14ac:dyDescent="0.2">
      <c r="B19" s="194">
        <v>8</v>
      </c>
      <c r="C19" s="225" t="s">
        <v>399</v>
      </c>
      <c r="D19" s="270">
        <v>2224</v>
      </c>
      <c r="E19" s="270">
        <v>2224</v>
      </c>
      <c r="F19" s="270">
        <v>2224</v>
      </c>
      <c r="G19" s="270">
        <v>2224</v>
      </c>
      <c r="H19" s="270">
        <v>2224</v>
      </c>
      <c r="I19" s="270">
        <v>2224</v>
      </c>
      <c r="J19" s="270">
        <v>2224</v>
      </c>
      <c r="K19" s="270">
        <v>2224</v>
      </c>
      <c r="L19" s="270">
        <v>2224</v>
      </c>
      <c r="M19" s="270">
        <v>2224</v>
      </c>
      <c r="N19" s="270">
        <v>2224</v>
      </c>
      <c r="O19" s="270">
        <v>2224</v>
      </c>
      <c r="P19" s="270">
        <v>2224</v>
      </c>
      <c r="Q19" s="270">
        <v>2224</v>
      </c>
    </row>
    <row r="20" spans="1:17" ht="20.100000000000001" customHeight="1" x14ac:dyDescent="0.2">
      <c r="B20" s="194">
        <v>9</v>
      </c>
      <c r="C20" s="225" t="s">
        <v>400</v>
      </c>
      <c r="D20" s="270">
        <v>1559</v>
      </c>
      <c r="E20" s="270">
        <v>1559</v>
      </c>
      <c r="F20" s="270">
        <v>1559</v>
      </c>
      <c r="G20" s="270">
        <v>1559</v>
      </c>
      <c r="H20" s="270">
        <v>1559</v>
      </c>
      <c r="I20" s="270">
        <v>1559</v>
      </c>
      <c r="J20" s="270">
        <v>1559</v>
      </c>
      <c r="K20" s="270">
        <v>1559</v>
      </c>
      <c r="L20" s="270">
        <v>1559</v>
      </c>
      <c r="M20" s="270">
        <v>1559</v>
      </c>
      <c r="N20" s="270">
        <v>1559</v>
      </c>
      <c r="O20" s="270">
        <v>1559</v>
      </c>
      <c r="P20" s="270">
        <v>1559</v>
      </c>
      <c r="Q20" s="270">
        <v>1559</v>
      </c>
    </row>
    <row r="21" spans="1:17" ht="20.100000000000001" customHeight="1" x14ac:dyDescent="0.2">
      <c r="B21" s="194">
        <v>10</v>
      </c>
      <c r="C21" s="225" t="s">
        <v>401</v>
      </c>
      <c r="D21" s="270">
        <v>814</v>
      </c>
      <c r="E21" s="270">
        <v>814</v>
      </c>
      <c r="F21" s="270">
        <v>814</v>
      </c>
      <c r="G21" s="270">
        <v>814</v>
      </c>
      <c r="H21" s="270">
        <v>814</v>
      </c>
      <c r="I21" s="270">
        <v>814</v>
      </c>
      <c r="J21" s="270">
        <v>814</v>
      </c>
      <c r="K21" s="270">
        <v>814</v>
      </c>
      <c r="L21" s="270">
        <v>814</v>
      </c>
      <c r="M21" s="270">
        <v>814</v>
      </c>
      <c r="N21" s="270">
        <v>814</v>
      </c>
      <c r="O21" s="270">
        <v>814</v>
      </c>
      <c r="P21" s="270">
        <v>814</v>
      </c>
      <c r="Q21" s="270">
        <v>814</v>
      </c>
    </row>
    <row r="22" spans="1:17" ht="20.100000000000001" customHeight="1" x14ac:dyDescent="0.2">
      <c r="B22" s="194">
        <v>11</v>
      </c>
      <c r="C22" s="225" t="s">
        <v>402</v>
      </c>
      <c r="D22" s="270">
        <v>1988</v>
      </c>
      <c r="E22" s="270">
        <v>1988</v>
      </c>
      <c r="F22" s="270">
        <v>1988</v>
      </c>
      <c r="G22" s="270">
        <v>1988</v>
      </c>
      <c r="H22" s="270">
        <v>1988</v>
      </c>
      <c r="I22" s="270">
        <v>1988</v>
      </c>
      <c r="J22" s="270">
        <v>1988</v>
      </c>
      <c r="K22" s="270">
        <v>1988</v>
      </c>
      <c r="L22" s="270">
        <v>1988</v>
      </c>
      <c r="M22" s="270">
        <v>1988</v>
      </c>
      <c r="N22" s="270">
        <v>1988</v>
      </c>
      <c r="O22" s="270">
        <v>1988</v>
      </c>
      <c r="P22" s="270">
        <v>1988</v>
      </c>
      <c r="Q22" s="270">
        <v>1988</v>
      </c>
    </row>
    <row r="23" spans="1:17" ht="20.100000000000001" customHeight="1" x14ac:dyDescent="0.2">
      <c r="B23" s="194">
        <v>12</v>
      </c>
      <c r="C23" s="225" t="s">
        <v>403</v>
      </c>
      <c r="D23" s="270">
        <v>1255</v>
      </c>
      <c r="E23" s="270">
        <v>1255</v>
      </c>
      <c r="F23" s="270">
        <v>1255</v>
      </c>
      <c r="G23" s="270">
        <v>1255</v>
      </c>
      <c r="H23" s="270">
        <v>1255</v>
      </c>
      <c r="I23" s="270">
        <v>1255</v>
      </c>
      <c r="J23" s="270">
        <v>1255</v>
      </c>
      <c r="K23" s="270">
        <v>1255</v>
      </c>
      <c r="L23" s="270">
        <v>1255</v>
      </c>
      <c r="M23" s="270">
        <v>1255</v>
      </c>
      <c r="N23" s="270">
        <v>1255</v>
      </c>
      <c r="O23" s="270">
        <v>1255</v>
      </c>
      <c r="P23" s="270">
        <v>1255</v>
      </c>
      <c r="Q23" s="270">
        <v>1255</v>
      </c>
    </row>
    <row r="24" spans="1:17" ht="20.100000000000001" customHeight="1" x14ac:dyDescent="0.2">
      <c r="B24" s="194">
        <v>13</v>
      </c>
      <c r="C24" s="225" t="s">
        <v>404</v>
      </c>
      <c r="D24" s="270">
        <v>1066</v>
      </c>
      <c r="E24" s="270">
        <v>1066</v>
      </c>
      <c r="F24" s="270">
        <v>1066</v>
      </c>
      <c r="G24" s="270">
        <v>1066</v>
      </c>
      <c r="H24" s="270">
        <v>1066</v>
      </c>
      <c r="I24" s="270">
        <v>1066</v>
      </c>
      <c r="J24" s="270">
        <v>1066</v>
      </c>
      <c r="K24" s="270">
        <v>1066</v>
      </c>
      <c r="L24" s="270">
        <v>1066</v>
      </c>
      <c r="M24" s="270">
        <v>1066</v>
      </c>
      <c r="N24" s="270">
        <v>1066</v>
      </c>
      <c r="O24" s="270">
        <v>1066</v>
      </c>
      <c r="P24" s="270">
        <v>1066</v>
      </c>
      <c r="Q24" s="270">
        <v>1066</v>
      </c>
    </row>
    <row r="25" spans="1:17" ht="20.100000000000001" customHeight="1" x14ac:dyDescent="0.2">
      <c r="B25" s="232" t="s">
        <v>18</v>
      </c>
      <c r="C25" s="232"/>
      <c r="D25" s="233">
        <f>SUM(D12:D24)</f>
        <v>17664</v>
      </c>
      <c r="E25" s="233">
        <f t="shared" ref="E25:Q25" si="0">SUM(E12:E24)</f>
        <v>17664</v>
      </c>
      <c r="F25" s="233">
        <f t="shared" si="0"/>
        <v>17664</v>
      </c>
      <c r="G25" s="233">
        <f t="shared" si="0"/>
        <v>17664</v>
      </c>
      <c r="H25" s="233">
        <f t="shared" si="0"/>
        <v>17664</v>
      </c>
      <c r="I25" s="233">
        <f t="shared" si="0"/>
        <v>17664</v>
      </c>
      <c r="J25" s="233">
        <f t="shared" si="0"/>
        <v>17664</v>
      </c>
      <c r="K25" s="233">
        <f t="shared" si="0"/>
        <v>17664</v>
      </c>
      <c r="L25" s="233">
        <f t="shared" si="0"/>
        <v>17664</v>
      </c>
      <c r="M25" s="233">
        <f t="shared" si="0"/>
        <v>17664</v>
      </c>
      <c r="N25" s="233">
        <f t="shared" ref="N25:P25" si="1">SUM(N12:N24)</f>
        <v>17664</v>
      </c>
      <c r="O25" s="233">
        <f t="shared" si="1"/>
        <v>17664</v>
      </c>
      <c r="P25" s="233">
        <f t="shared" si="1"/>
        <v>17664</v>
      </c>
      <c r="Q25" s="233">
        <f t="shared" si="0"/>
        <v>17664</v>
      </c>
    </row>
    <row r="26" spans="1:17" ht="20.100000000000001" customHeight="1" x14ac:dyDescent="0.2">
      <c r="B26" s="373"/>
      <c r="C26" s="373"/>
      <c r="D26" s="528"/>
      <c r="E26" s="528"/>
      <c r="F26" s="528"/>
      <c r="G26" s="528"/>
      <c r="H26" s="528"/>
      <c r="I26" s="528"/>
      <c r="J26" s="528"/>
      <c r="K26" s="528"/>
      <c r="L26" s="528"/>
      <c r="M26" s="528"/>
      <c r="N26" s="528"/>
      <c r="O26" s="528"/>
      <c r="P26" s="528"/>
      <c r="Q26" s="528"/>
    </row>
    <row r="27" spans="1:17" ht="20.100000000000001" customHeight="1" x14ac:dyDescent="0.2">
      <c r="B27" s="373"/>
      <c r="C27" s="373"/>
      <c r="D27" s="528"/>
      <c r="E27" s="528"/>
      <c r="F27" s="528"/>
      <c r="G27" s="528"/>
      <c r="H27" s="528"/>
      <c r="I27" s="528"/>
      <c r="J27" s="528"/>
      <c r="K27" s="528"/>
      <c r="L27" s="528"/>
      <c r="M27" s="528"/>
      <c r="N27" s="528"/>
      <c r="O27" s="528"/>
      <c r="P27" s="528"/>
      <c r="Q27" s="528"/>
    </row>
    <row r="30" spans="1:17" x14ac:dyDescent="0.2">
      <c r="I30" s="1187" t="s">
        <v>646</v>
      </c>
      <c r="J30" s="1187"/>
      <c r="K30" s="1187"/>
      <c r="L30" s="1187"/>
      <c r="M30" s="1187"/>
      <c r="N30" s="1187"/>
      <c r="O30" s="1187"/>
      <c r="P30" s="1187"/>
      <c r="Q30" s="1187"/>
    </row>
    <row r="31" spans="1:17" x14ac:dyDescent="0.2">
      <c r="I31" s="1274" t="s">
        <v>13</v>
      </c>
      <c r="J31" s="1274"/>
      <c r="K31" s="1274"/>
      <c r="L31" s="1274"/>
      <c r="M31" s="1274"/>
      <c r="N31" s="1274"/>
      <c r="O31" s="1274"/>
      <c r="P31" s="1274"/>
      <c r="Q31" s="1274"/>
    </row>
    <row r="32" spans="1:17" x14ac:dyDescent="0.2">
      <c r="I32" s="1274" t="s">
        <v>88</v>
      </c>
      <c r="J32" s="1274"/>
      <c r="K32" s="1274"/>
      <c r="L32" s="1274"/>
      <c r="M32" s="1274"/>
      <c r="N32" s="1274"/>
      <c r="O32" s="1274"/>
      <c r="P32" s="1274"/>
      <c r="Q32" s="1274"/>
    </row>
    <row r="33" spans="2:17" x14ac:dyDescent="0.2">
      <c r="B33" s="116" t="s">
        <v>11</v>
      </c>
      <c r="I33" s="1357" t="s">
        <v>85</v>
      </c>
      <c r="J33" s="1357"/>
      <c r="K33" s="1357"/>
      <c r="L33" s="1357"/>
      <c r="M33" s="338"/>
      <c r="N33" s="828"/>
      <c r="O33" s="828"/>
      <c r="P33" s="828"/>
      <c r="Q33" s="338"/>
    </row>
  </sheetData>
  <mergeCells count="15">
    <mergeCell ref="I31:Q31"/>
    <mergeCell ref="I32:Q32"/>
    <mergeCell ref="B6:D6"/>
    <mergeCell ref="I33:L33"/>
    <mergeCell ref="I1:J1"/>
    <mergeCell ref="A2:Q2"/>
    <mergeCell ref="A3:Q3"/>
    <mergeCell ref="A4:Q4"/>
    <mergeCell ref="L8:Q8"/>
    <mergeCell ref="B9:B10"/>
    <mergeCell ref="C9:C10"/>
    <mergeCell ref="D9:D10"/>
    <mergeCell ref="E9:E10"/>
    <mergeCell ref="F9:Q9"/>
    <mergeCell ref="I30:Q30"/>
  </mergeCells>
  <printOptions horizontalCentered="1"/>
  <pageMargins left="0.43" right="0.33" top="0.23622047244094491" bottom="0"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view="pageBreakPreview" zoomScale="80" zoomScaleSheetLayoutView="80" workbookViewId="0">
      <selection activeCell="D1" sqref="D1"/>
    </sheetView>
  </sheetViews>
  <sheetFormatPr defaultRowHeight="12.75" x14ac:dyDescent="0.2"/>
  <cols>
    <col min="1" max="1" width="7.28515625" style="107" customWidth="1"/>
    <col min="2" max="2" width="26" style="107" customWidth="1"/>
    <col min="3" max="3" width="9.85546875" style="107" customWidth="1"/>
    <col min="4" max="4" width="9.7109375" style="107" customWidth="1"/>
    <col min="5" max="5" width="9.140625" style="107" customWidth="1"/>
    <col min="6" max="6" width="16" style="107" customWidth="1"/>
    <col min="7" max="9" width="10.7109375" style="107" customWidth="1"/>
    <col min="10" max="10" width="12" style="107" customWidth="1"/>
    <col min="11" max="11" width="9.28515625" style="107" bestFit="1" customWidth="1"/>
    <col min="12" max="13" width="9.140625" style="107"/>
    <col min="14" max="14" width="13.140625" style="107" customWidth="1"/>
    <col min="15" max="18" width="9.140625" style="107"/>
    <col min="19" max="21" width="8.85546875" style="107" customWidth="1"/>
    <col min="22" max="16384" width="9.140625" style="107"/>
  </cols>
  <sheetData>
    <row r="1" spans="1:26" ht="15" x14ac:dyDescent="0.2">
      <c r="V1" s="108" t="s">
        <v>665</v>
      </c>
    </row>
    <row r="2" spans="1:26" ht="15.75" x14ac:dyDescent="0.25">
      <c r="A2" s="1044" t="s">
        <v>0</v>
      </c>
      <c r="B2" s="1044"/>
      <c r="C2" s="1044"/>
      <c r="D2" s="1044"/>
      <c r="E2" s="1044"/>
      <c r="F2" s="1044"/>
      <c r="G2" s="1044"/>
      <c r="H2" s="1044"/>
      <c r="I2" s="1044"/>
      <c r="J2" s="1044"/>
      <c r="K2" s="1044"/>
      <c r="L2" s="1044"/>
      <c r="M2" s="1044"/>
      <c r="N2" s="1044"/>
      <c r="O2" s="1044"/>
      <c r="P2" s="1044"/>
      <c r="Q2" s="1044"/>
      <c r="R2" s="1044"/>
      <c r="S2" s="1044"/>
      <c r="T2" s="1044"/>
      <c r="U2" s="1044"/>
      <c r="V2" s="1044"/>
    </row>
    <row r="3" spans="1:26" ht="20.25" x14ac:dyDescent="0.3">
      <c r="A3" s="1044" t="s">
        <v>794</v>
      </c>
      <c r="B3" s="1044"/>
      <c r="C3" s="1044"/>
      <c r="D3" s="1044"/>
      <c r="E3" s="1044"/>
      <c r="F3" s="1044"/>
      <c r="G3" s="1044"/>
      <c r="H3" s="1044"/>
      <c r="I3" s="1044"/>
      <c r="J3" s="1044"/>
      <c r="K3" s="1044"/>
      <c r="L3" s="1044"/>
      <c r="M3" s="1044"/>
      <c r="N3" s="1044"/>
      <c r="O3" s="1044"/>
      <c r="P3" s="1044"/>
      <c r="Q3" s="1044"/>
      <c r="R3" s="1044"/>
      <c r="S3" s="1044"/>
      <c r="T3" s="1044"/>
      <c r="U3" s="1044"/>
      <c r="V3" s="1044"/>
      <c r="W3" s="81"/>
      <c r="X3" s="81"/>
    </row>
    <row r="4" spans="1:26" ht="18" x14ac:dyDescent="0.25">
      <c r="A4" s="1045" t="s">
        <v>275</v>
      </c>
      <c r="B4" s="1045"/>
      <c r="C4" s="1045"/>
      <c r="D4" s="1045"/>
      <c r="E4" s="1045"/>
      <c r="F4" s="1045"/>
      <c r="G4" s="1045"/>
      <c r="H4" s="1045"/>
      <c r="I4" s="1045"/>
      <c r="J4" s="1045"/>
      <c r="K4" s="1045"/>
      <c r="L4" s="1045"/>
      <c r="M4" s="1045"/>
      <c r="N4" s="1045"/>
      <c r="O4" s="1045"/>
      <c r="P4" s="1045"/>
      <c r="Q4" s="1045"/>
      <c r="R4" s="1045"/>
      <c r="S4" s="1045"/>
      <c r="T4" s="1045"/>
      <c r="U4" s="1045"/>
      <c r="V4" s="1045"/>
    </row>
    <row r="5" spans="1:26" ht="18" customHeight="1" x14ac:dyDescent="0.2">
      <c r="A5" s="1046" t="s">
        <v>797</v>
      </c>
      <c r="B5" s="1046"/>
      <c r="C5" s="1046"/>
      <c r="D5" s="1046"/>
      <c r="E5" s="1046"/>
      <c r="F5" s="1046"/>
      <c r="G5" s="1046"/>
      <c r="H5" s="1046"/>
      <c r="I5" s="1046"/>
      <c r="J5" s="1046"/>
      <c r="K5" s="1046"/>
      <c r="L5" s="1046"/>
      <c r="M5" s="1046"/>
      <c r="N5" s="1046"/>
      <c r="O5" s="1046"/>
      <c r="P5" s="1046"/>
      <c r="Q5" s="1046"/>
      <c r="R5" s="1046"/>
      <c r="S5" s="1046"/>
      <c r="T5" s="1046"/>
      <c r="U5" s="1046"/>
      <c r="V5" s="1046"/>
    </row>
    <row r="6" spans="1:26" ht="15.75" x14ac:dyDescent="0.25">
      <c r="T6" s="59"/>
      <c r="U6" s="1047" t="s">
        <v>282</v>
      </c>
      <c r="V6" s="1048"/>
    </row>
    <row r="7" spans="1:26" ht="15" x14ac:dyDescent="0.2">
      <c r="K7" s="58"/>
      <c r="L7" s="58"/>
      <c r="M7" s="58"/>
      <c r="N7" s="58"/>
      <c r="O7" s="58"/>
      <c r="P7" s="58"/>
      <c r="Q7" s="58"/>
      <c r="R7" s="58"/>
    </row>
    <row r="8" spans="1:26" ht="16.5" customHeight="1" x14ac:dyDescent="0.2">
      <c r="A8" s="1000" t="s">
        <v>463</v>
      </c>
      <c r="B8" s="1000"/>
      <c r="C8" s="1000"/>
      <c r="O8" s="1055" t="s">
        <v>909</v>
      </c>
      <c r="P8" s="1055"/>
      <c r="Q8" s="1055"/>
      <c r="R8" s="1055"/>
      <c r="S8" s="1055"/>
      <c r="T8" s="1055"/>
      <c r="U8" s="1055"/>
      <c r="V8" s="1055"/>
    </row>
    <row r="9" spans="1:26" ht="36.75" customHeight="1" x14ac:dyDescent="0.2">
      <c r="A9" s="1043" t="s">
        <v>2</v>
      </c>
      <c r="B9" s="1043" t="s">
        <v>163</v>
      </c>
      <c r="C9" s="1043" t="s">
        <v>164</v>
      </c>
      <c r="D9" s="1043"/>
      <c r="E9" s="1043"/>
      <c r="F9" s="1043" t="s">
        <v>165</v>
      </c>
      <c r="G9" s="1043" t="s">
        <v>194</v>
      </c>
      <c r="H9" s="1043"/>
      <c r="I9" s="1043"/>
      <c r="J9" s="1043"/>
      <c r="K9" s="1043"/>
      <c r="L9" s="1043"/>
      <c r="M9" s="1043"/>
      <c r="N9" s="1043"/>
      <c r="O9" s="1043" t="s">
        <v>195</v>
      </c>
      <c r="P9" s="1043"/>
      <c r="Q9" s="1043"/>
      <c r="R9" s="1043"/>
      <c r="S9" s="1043"/>
      <c r="T9" s="1043"/>
      <c r="U9" s="1043"/>
      <c r="V9" s="1043"/>
    </row>
    <row r="10" spans="1:26" ht="24.75" customHeight="1" x14ac:dyDescent="0.2">
      <c r="A10" s="1043"/>
      <c r="B10" s="1043"/>
      <c r="C10" s="1043" t="s">
        <v>283</v>
      </c>
      <c r="D10" s="1043" t="s">
        <v>44</v>
      </c>
      <c r="E10" s="1043" t="s">
        <v>45</v>
      </c>
      <c r="F10" s="1043"/>
      <c r="G10" s="1043" t="s">
        <v>196</v>
      </c>
      <c r="H10" s="1043"/>
      <c r="I10" s="1043"/>
      <c r="J10" s="1043"/>
      <c r="K10" s="1043" t="s">
        <v>180</v>
      </c>
      <c r="L10" s="1043"/>
      <c r="M10" s="1043"/>
      <c r="N10" s="1043"/>
      <c r="O10" s="1043" t="s">
        <v>166</v>
      </c>
      <c r="P10" s="1043"/>
      <c r="Q10" s="1043"/>
      <c r="R10" s="1043"/>
      <c r="S10" s="1043" t="s">
        <v>179</v>
      </c>
      <c r="T10" s="1043"/>
      <c r="U10" s="1043"/>
      <c r="V10" s="1043"/>
    </row>
    <row r="11" spans="1:26" x14ac:dyDescent="0.2">
      <c r="A11" s="1043"/>
      <c r="B11" s="1043"/>
      <c r="C11" s="1043"/>
      <c r="D11" s="1043"/>
      <c r="E11" s="1043"/>
      <c r="F11" s="1043"/>
      <c r="G11" s="1032" t="s">
        <v>167</v>
      </c>
      <c r="H11" s="1033"/>
      <c r="I11" s="1034"/>
      <c r="J11" s="1026" t="s">
        <v>168</v>
      </c>
      <c r="K11" s="1032" t="s">
        <v>167</v>
      </c>
      <c r="L11" s="1033"/>
      <c r="M11" s="1034"/>
      <c r="N11" s="1026" t="s">
        <v>168</v>
      </c>
      <c r="O11" s="1032" t="s">
        <v>167</v>
      </c>
      <c r="P11" s="1033"/>
      <c r="Q11" s="1034"/>
      <c r="R11" s="1026" t="s">
        <v>168</v>
      </c>
      <c r="S11" s="1032" t="s">
        <v>167</v>
      </c>
      <c r="T11" s="1033"/>
      <c r="U11" s="1034"/>
      <c r="V11" s="1026" t="s">
        <v>168</v>
      </c>
    </row>
    <row r="12" spans="1:26" ht="15.75" customHeight="1" x14ac:dyDescent="0.2">
      <c r="A12" s="1043"/>
      <c r="B12" s="1043"/>
      <c r="C12" s="1043"/>
      <c r="D12" s="1043"/>
      <c r="E12" s="1043"/>
      <c r="F12" s="1043"/>
      <c r="G12" s="1038"/>
      <c r="H12" s="1039"/>
      <c r="I12" s="1040"/>
      <c r="J12" s="1027"/>
      <c r="K12" s="1038"/>
      <c r="L12" s="1039"/>
      <c r="M12" s="1040"/>
      <c r="N12" s="1027"/>
      <c r="O12" s="1038"/>
      <c r="P12" s="1039"/>
      <c r="Q12" s="1040"/>
      <c r="R12" s="1027"/>
      <c r="S12" s="1038"/>
      <c r="T12" s="1039"/>
      <c r="U12" s="1040"/>
      <c r="V12" s="1027"/>
    </row>
    <row r="13" spans="1:26" ht="24.75" customHeight="1" x14ac:dyDescent="0.2">
      <c r="A13" s="1043"/>
      <c r="B13" s="1043"/>
      <c r="C13" s="1043"/>
      <c r="D13" s="1043"/>
      <c r="E13" s="1043"/>
      <c r="F13" s="1043"/>
      <c r="G13" s="109" t="s">
        <v>283</v>
      </c>
      <c r="H13" s="109" t="s">
        <v>44</v>
      </c>
      <c r="I13" s="110" t="s">
        <v>45</v>
      </c>
      <c r="J13" s="1028"/>
      <c r="K13" s="109" t="s">
        <v>283</v>
      </c>
      <c r="L13" s="109" t="s">
        <v>44</v>
      </c>
      <c r="M13" s="109" t="s">
        <v>45</v>
      </c>
      <c r="N13" s="1028"/>
      <c r="O13" s="109" t="s">
        <v>283</v>
      </c>
      <c r="P13" s="109" t="s">
        <v>44</v>
      </c>
      <c r="Q13" s="109" t="s">
        <v>45</v>
      </c>
      <c r="R13" s="1028"/>
      <c r="S13" s="109" t="s">
        <v>283</v>
      </c>
      <c r="T13" s="109" t="s">
        <v>44</v>
      </c>
      <c r="U13" s="109" t="s">
        <v>45</v>
      </c>
      <c r="V13" s="1028"/>
    </row>
    <row r="14" spans="1:26" ht="24.75" customHeight="1" x14ac:dyDescent="0.2">
      <c r="A14" s="109">
        <v>1</v>
      </c>
      <c r="B14" s="109">
        <v>2</v>
      </c>
      <c r="C14" s="109">
        <v>3</v>
      </c>
      <c r="D14" s="109">
        <v>4</v>
      </c>
      <c r="E14" s="109">
        <v>5</v>
      </c>
      <c r="F14" s="109">
        <v>6</v>
      </c>
      <c r="G14" s="109">
        <v>7</v>
      </c>
      <c r="H14" s="109">
        <v>8</v>
      </c>
      <c r="I14" s="109">
        <v>9</v>
      </c>
      <c r="J14" s="109">
        <v>10</v>
      </c>
      <c r="K14" s="109">
        <v>11</v>
      </c>
      <c r="L14" s="109">
        <v>12</v>
      </c>
      <c r="M14" s="109">
        <v>13</v>
      </c>
      <c r="N14" s="109">
        <v>14</v>
      </c>
      <c r="O14" s="109">
        <v>15</v>
      </c>
      <c r="P14" s="109">
        <v>16</v>
      </c>
      <c r="Q14" s="109">
        <v>17</v>
      </c>
      <c r="R14" s="109">
        <v>18</v>
      </c>
      <c r="S14" s="109">
        <v>19</v>
      </c>
      <c r="T14" s="109">
        <v>20</v>
      </c>
      <c r="U14" s="109">
        <v>21</v>
      </c>
      <c r="V14" s="109">
        <v>22</v>
      </c>
    </row>
    <row r="15" spans="1:26" ht="24.75" customHeight="1" x14ac:dyDescent="0.2">
      <c r="A15" s="1029" t="s">
        <v>235</v>
      </c>
      <c r="B15" s="1030"/>
      <c r="C15" s="1030"/>
      <c r="D15" s="1030"/>
      <c r="E15" s="1030"/>
      <c r="F15" s="1030"/>
      <c r="G15" s="1030"/>
      <c r="H15" s="1030"/>
      <c r="I15" s="1030"/>
      <c r="J15" s="1030"/>
      <c r="K15" s="1030"/>
      <c r="L15" s="1030"/>
      <c r="M15" s="1030"/>
      <c r="N15" s="1030"/>
      <c r="O15" s="1030"/>
      <c r="P15" s="1030"/>
      <c r="Q15" s="1030"/>
      <c r="R15" s="1030"/>
      <c r="S15" s="1030"/>
      <c r="T15" s="1030"/>
      <c r="U15" s="1031"/>
      <c r="V15" s="109"/>
    </row>
    <row r="16" spans="1:26" ht="37.5" customHeight="1" x14ac:dyDescent="0.2">
      <c r="A16" s="891">
        <v>1</v>
      </c>
      <c r="B16" s="891" t="s">
        <v>234</v>
      </c>
      <c r="C16" s="897">
        <v>2002.49</v>
      </c>
      <c r="D16" s="898">
        <v>669.33</v>
      </c>
      <c r="E16" s="897">
        <v>84.91</v>
      </c>
      <c r="F16" s="899">
        <v>42852</v>
      </c>
      <c r="G16" s="896">
        <v>2002.49</v>
      </c>
      <c r="H16" s="896">
        <v>666.67</v>
      </c>
      <c r="I16" s="896">
        <v>84.91</v>
      </c>
      <c r="J16" s="900">
        <v>42891</v>
      </c>
      <c r="K16" s="901">
        <v>1971.06</v>
      </c>
      <c r="L16" s="896">
        <v>658.83</v>
      </c>
      <c r="M16" s="896">
        <v>83.57</v>
      </c>
      <c r="N16" s="900">
        <v>42906</v>
      </c>
      <c r="O16" s="1032" t="s">
        <v>483</v>
      </c>
      <c r="P16" s="1033"/>
      <c r="Q16" s="1033"/>
      <c r="R16" s="1033"/>
      <c r="S16" s="1033"/>
      <c r="T16" s="1033"/>
      <c r="U16" s="1033"/>
      <c r="V16" s="1034"/>
      <c r="W16" s="661" t="e">
        <f>K16+#REF!</f>
        <v>#REF!</v>
      </c>
      <c r="X16" s="661" t="e">
        <f>L16+#REF!</f>
        <v>#REF!</v>
      </c>
      <c r="Y16" s="661" t="e">
        <f>M16+#REF!</f>
        <v>#REF!</v>
      </c>
      <c r="Z16" s="661" t="e">
        <f>N16+#REF!</f>
        <v>#REF!</v>
      </c>
    </row>
    <row r="17" spans="1:22" ht="37.5" customHeight="1" x14ac:dyDescent="0.2">
      <c r="A17" s="891">
        <v>2</v>
      </c>
      <c r="B17" s="891" t="s">
        <v>169</v>
      </c>
      <c r="C17" s="897">
        <v>1942.78</v>
      </c>
      <c r="D17" s="898">
        <v>649.38</v>
      </c>
      <c r="E17" s="897">
        <v>82.38</v>
      </c>
      <c r="F17" s="899">
        <v>42941</v>
      </c>
      <c r="G17" s="896">
        <v>1942.78</v>
      </c>
      <c r="H17" s="901">
        <v>649.38</v>
      </c>
      <c r="I17" s="896">
        <v>82.37</v>
      </c>
      <c r="J17" s="900">
        <v>42969</v>
      </c>
      <c r="K17" s="901">
        <v>1003.77</v>
      </c>
      <c r="L17" s="896">
        <v>335.51</v>
      </c>
      <c r="M17" s="896">
        <v>42.46</v>
      </c>
      <c r="N17" s="900">
        <v>42974</v>
      </c>
      <c r="O17" s="1035"/>
      <c r="P17" s="1036"/>
      <c r="Q17" s="1036"/>
      <c r="R17" s="1036"/>
      <c r="S17" s="1036"/>
      <c r="T17" s="1036"/>
      <c r="U17" s="1036"/>
      <c r="V17" s="1037"/>
    </row>
    <row r="18" spans="1:22" ht="37.5" customHeight="1" x14ac:dyDescent="0.2">
      <c r="A18" s="895">
        <v>3</v>
      </c>
      <c r="B18" s="895" t="s">
        <v>997</v>
      </c>
      <c r="C18" s="896">
        <v>1494.63</v>
      </c>
      <c r="D18" s="901">
        <v>499.58</v>
      </c>
      <c r="E18" s="901">
        <v>63.37</v>
      </c>
      <c r="F18" s="900">
        <v>43082</v>
      </c>
      <c r="G18" s="896">
        <v>1494.63</v>
      </c>
      <c r="H18" s="896">
        <v>499.58</v>
      </c>
      <c r="I18" s="896">
        <v>63.37</v>
      </c>
      <c r="J18" s="900">
        <v>43122</v>
      </c>
      <c r="K18" s="901">
        <v>2047.63</v>
      </c>
      <c r="L18" s="896">
        <v>684.42</v>
      </c>
      <c r="M18" s="896">
        <v>86.82</v>
      </c>
      <c r="N18" s="900">
        <v>43134</v>
      </c>
      <c r="O18" s="1035"/>
      <c r="P18" s="1036"/>
      <c r="Q18" s="1036"/>
      <c r="R18" s="1036"/>
      <c r="S18" s="1036"/>
      <c r="T18" s="1036"/>
      <c r="U18" s="1036"/>
      <c r="V18" s="1037"/>
    </row>
    <row r="19" spans="1:22" ht="37.5" customHeight="1" x14ac:dyDescent="0.2">
      <c r="A19" s="895"/>
      <c r="B19" s="895" t="s">
        <v>998</v>
      </c>
      <c r="C19" s="896">
        <v>1494.63</v>
      </c>
      <c r="D19" s="901">
        <v>499.58</v>
      </c>
      <c r="E19" s="901">
        <v>63.36</v>
      </c>
      <c r="F19" s="900">
        <v>43124</v>
      </c>
      <c r="G19" s="896">
        <v>1494.63</v>
      </c>
      <c r="H19" s="896">
        <v>499.58</v>
      </c>
      <c r="I19" s="896">
        <v>63.36</v>
      </c>
      <c r="J19" s="900">
        <v>43176</v>
      </c>
      <c r="K19" s="901">
        <v>2216.04</v>
      </c>
      <c r="L19" s="896">
        <v>740.71</v>
      </c>
      <c r="M19" s="896">
        <v>93.96</v>
      </c>
      <c r="N19" s="900">
        <v>43103</v>
      </c>
      <c r="O19" s="1035"/>
      <c r="P19" s="1036"/>
      <c r="Q19" s="1036"/>
      <c r="R19" s="1036"/>
      <c r="S19" s="1036"/>
      <c r="T19" s="1036"/>
      <c r="U19" s="1036"/>
      <c r="V19" s="1037"/>
    </row>
    <row r="20" spans="1:22" ht="37.5" customHeight="1" x14ac:dyDescent="0.2">
      <c r="A20" s="895"/>
      <c r="B20" s="895" t="s">
        <v>999</v>
      </c>
      <c r="C20" s="896">
        <v>121.87</v>
      </c>
      <c r="D20" s="901">
        <v>40.729999999999997</v>
      </c>
      <c r="E20" s="901">
        <v>5.17</v>
      </c>
      <c r="F20" s="900">
        <v>43189</v>
      </c>
      <c r="G20" s="896">
        <v>0</v>
      </c>
      <c r="H20" s="896">
        <v>0</v>
      </c>
      <c r="I20" s="896">
        <v>0</v>
      </c>
      <c r="J20" s="896"/>
      <c r="K20" s="901">
        <v>67.430000000000007</v>
      </c>
      <c r="L20" s="896">
        <v>22.54</v>
      </c>
      <c r="M20" s="896">
        <v>2.86</v>
      </c>
      <c r="N20" s="900">
        <v>43190</v>
      </c>
      <c r="O20" s="1035"/>
      <c r="P20" s="1036"/>
      <c r="Q20" s="1036"/>
      <c r="R20" s="1036"/>
      <c r="S20" s="1036"/>
      <c r="T20" s="1036"/>
      <c r="U20" s="1036"/>
      <c r="V20" s="1037"/>
    </row>
    <row r="21" spans="1:22" ht="37.5" customHeight="1" x14ac:dyDescent="0.2">
      <c r="A21" s="895"/>
      <c r="B21" s="895" t="s">
        <v>1000</v>
      </c>
      <c r="C21" s="896">
        <v>0</v>
      </c>
      <c r="D21" s="901">
        <v>0</v>
      </c>
      <c r="E21" s="901">
        <v>0</v>
      </c>
      <c r="F21" s="896"/>
      <c r="G21" s="896">
        <v>847.65</v>
      </c>
      <c r="H21" s="896">
        <v>0</v>
      </c>
      <c r="I21" s="896">
        <v>44.03</v>
      </c>
      <c r="J21" s="900">
        <v>42936</v>
      </c>
      <c r="K21" s="901">
        <v>1948.4</v>
      </c>
      <c r="L21" s="896">
        <v>651.26</v>
      </c>
      <c r="M21" s="896">
        <v>82.61</v>
      </c>
      <c r="N21" s="900">
        <v>42966</v>
      </c>
      <c r="O21" s="1038"/>
      <c r="P21" s="1039"/>
      <c r="Q21" s="1039"/>
      <c r="R21" s="1039"/>
      <c r="S21" s="1039"/>
      <c r="T21" s="1039"/>
      <c r="U21" s="1039"/>
      <c r="V21" s="1040"/>
    </row>
    <row r="22" spans="1:22" ht="37.5" customHeight="1" x14ac:dyDescent="0.2">
      <c r="A22" s="895"/>
      <c r="B22" s="895" t="s">
        <v>1001</v>
      </c>
      <c r="C22" s="896">
        <v>0</v>
      </c>
      <c r="D22" s="901">
        <v>0</v>
      </c>
      <c r="E22" s="901">
        <v>0</v>
      </c>
      <c r="F22" s="896"/>
      <c r="G22" s="896">
        <v>901.59</v>
      </c>
      <c r="H22" s="896">
        <v>301.36</v>
      </c>
      <c r="I22" s="896">
        <v>38.229999999999997</v>
      </c>
      <c r="J22" s="900">
        <v>43066</v>
      </c>
      <c r="K22" s="901">
        <v>901.59</v>
      </c>
      <c r="L22" s="896">
        <v>301.36</v>
      </c>
      <c r="M22" s="896">
        <v>38.229999999999997</v>
      </c>
      <c r="N22" s="900">
        <v>43078</v>
      </c>
      <c r="O22" s="892"/>
      <c r="P22" s="893"/>
      <c r="Q22" s="893"/>
      <c r="R22" s="893"/>
      <c r="S22" s="893"/>
      <c r="T22" s="893"/>
      <c r="U22" s="893"/>
      <c r="V22" s="894"/>
    </row>
    <row r="23" spans="1:22" ht="37.5" customHeight="1" x14ac:dyDescent="0.2">
      <c r="A23" s="895"/>
      <c r="B23" s="895" t="s">
        <v>1002</v>
      </c>
      <c r="C23" s="896">
        <v>0</v>
      </c>
      <c r="D23" s="901">
        <v>0</v>
      </c>
      <c r="E23" s="901">
        <v>0</v>
      </c>
      <c r="F23" s="896"/>
      <c r="G23" s="896">
        <v>659.74</v>
      </c>
      <c r="H23" s="896">
        <v>220.52</v>
      </c>
      <c r="I23" s="896">
        <v>27.97</v>
      </c>
      <c r="J23" s="900">
        <v>43173</v>
      </c>
      <c r="K23" s="901">
        <v>0</v>
      </c>
      <c r="L23" s="896">
        <v>0</v>
      </c>
      <c r="M23" s="896">
        <v>0</v>
      </c>
      <c r="N23" s="896">
        <v>0</v>
      </c>
      <c r="O23" s="892"/>
      <c r="P23" s="893"/>
      <c r="Q23" s="893"/>
      <c r="R23" s="893"/>
      <c r="S23" s="893"/>
      <c r="T23" s="893"/>
      <c r="U23" s="893"/>
      <c r="V23" s="894"/>
    </row>
    <row r="24" spans="1:22" ht="37.5" customHeight="1" x14ac:dyDescent="0.2">
      <c r="A24" s="895"/>
      <c r="B24" s="895" t="s">
        <v>1002</v>
      </c>
      <c r="C24" s="896">
        <v>0</v>
      </c>
      <c r="D24" s="901">
        <v>0</v>
      </c>
      <c r="E24" s="901">
        <v>0</v>
      </c>
      <c r="F24" s="896"/>
      <c r="G24" s="896">
        <v>619.1</v>
      </c>
      <c r="H24" s="896">
        <v>206.93</v>
      </c>
      <c r="I24" s="896">
        <v>26.25</v>
      </c>
      <c r="J24" s="900">
        <v>43189</v>
      </c>
      <c r="K24" s="901">
        <v>397.67</v>
      </c>
      <c r="L24" s="896">
        <v>132.91999999999999</v>
      </c>
      <c r="M24" s="896">
        <v>16.86</v>
      </c>
      <c r="N24" s="900">
        <v>43190</v>
      </c>
      <c r="O24" s="892"/>
      <c r="P24" s="893"/>
      <c r="Q24" s="893"/>
      <c r="R24" s="893"/>
      <c r="S24" s="893"/>
      <c r="T24" s="893"/>
      <c r="U24" s="893"/>
      <c r="V24" s="894"/>
    </row>
    <row r="25" spans="1:22" ht="37.5" customHeight="1" x14ac:dyDescent="0.2">
      <c r="A25" s="895">
        <v>4</v>
      </c>
      <c r="B25" s="895" t="s">
        <v>1003</v>
      </c>
      <c r="C25" s="896">
        <v>0</v>
      </c>
      <c r="D25" s="901">
        <v>0</v>
      </c>
      <c r="E25" s="901">
        <v>0</v>
      </c>
      <c r="F25" s="896"/>
      <c r="G25" s="896">
        <v>1012.28</v>
      </c>
      <c r="H25" s="896">
        <v>249.78</v>
      </c>
      <c r="I25" s="896">
        <v>52.59</v>
      </c>
      <c r="J25" s="900">
        <v>42965</v>
      </c>
      <c r="K25" s="901">
        <v>763.97</v>
      </c>
      <c r="L25" s="896">
        <v>255.36</v>
      </c>
      <c r="M25" s="896">
        <v>32.39</v>
      </c>
      <c r="N25" s="900">
        <v>42985</v>
      </c>
      <c r="O25" s="892"/>
      <c r="P25" s="893"/>
      <c r="Q25" s="893"/>
      <c r="R25" s="893"/>
      <c r="S25" s="893"/>
      <c r="T25" s="893"/>
      <c r="U25" s="893"/>
      <c r="V25" s="894"/>
    </row>
    <row r="26" spans="1:22" ht="37.5" customHeight="1" x14ac:dyDescent="0.2">
      <c r="A26" s="1041" t="s">
        <v>236</v>
      </c>
      <c r="B26" s="1041"/>
      <c r="C26" s="1041"/>
      <c r="D26" s="1041"/>
      <c r="E26" s="1041"/>
      <c r="F26" s="1041"/>
      <c r="G26" s="1041"/>
      <c r="H26" s="1041"/>
      <c r="I26" s="1041"/>
      <c r="J26" s="1041"/>
      <c r="K26" s="1041"/>
      <c r="L26" s="1041"/>
      <c r="M26" s="1041"/>
      <c r="N26" s="1041"/>
      <c r="O26" s="1041"/>
      <c r="P26" s="1041"/>
      <c r="Q26" s="1041"/>
      <c r="R26" s="1041"/>
      <c r="S26" s="1041"/>
      <c r="T26" s="1041"/>
      <c r="U26" s="1041"/>
      <c r="V26" s="1041"/>
    </row>
    <row r="27" spans="1:22" ht="39.75" customHeight="1" x14ac:dyDescent="0.2">
      <c r="A27" s="109">
        <v>5</v>
      </c>
      <c r="B27" s="109" t="s">
        <v>217</v>
      </c>
      <c r="C27" s="178"/>
      <c r="D27" s="178"/>
      <c r="E27" s="178"/>
      <c r="F27" s="177"/>
      <c r="G27" s="178"/>
      <c r="H27" s="178"/>
      <c r="I27" s="178"/>
      <c r="J27" s="177"/>
      <c r="K27" s="178"/>
      <c r="L27" s="178"/>
      <c r="M27" s="178"/>
      <c r="N27" s="177"/>
      <c r="O27" s="1049"/>
      <c r="P27" s="1050"/>
      <c r="Q27" s="1050"/>
      <c r="R27" s="1050"/>
      <c r="S27" s="1050"/>
      <c r="T27" s="1050"/>
      <c r="U27" s="1050"/>
      <c r="V27" s="1051"/>
    </row>
    <row r="28" spans="1:22" ht="39.75" customHeight="1" x14ac:dyDescent="0.2">
      <c r="A28" s="109">
        <v>6</v>
      </c>
      <c r="B28" s="109" t="s">
        <v>144</v>
      </c>
      <c r="C28" s="177"/>
      <c r="D28" s="177"/>
      <c r="E28" s="177"/>
      <c r="F28" s="177"/>
      <c r="G28" s="177"/>
      <c r="H28" s="177"/>
      <c r="I28" s="177"/>
      <c r="J28" s="177"/>
      <c r="K28" s="177"/>
      <c r="L28" s="177"/>
      <c r="M28" s="177"/>
      <c r="N28" s="177"/>
      <c r="O28" s="1052"/>
      <c r="P28" s="1053"/>
      <c r="Q28" s="1053"/>
      <c r="R28" s="1053"/>
      <c r="S28" s="1053"/>
      <c r="T28" s="1053"/>
      <c r="U28" s="1053"/>
      <c r="V28" s="1054"/>
    </row>
    <row r="31" spans="1:22" ht="14.25" x14ac:dyDescent="0.2">
      <c r="A31" s="1042" t="s">
        <v>181</v>
      </c>
      <c r="B31" s="1042"/>
      <c r="C31" s="1042"/>
      <c r="D31" s="1042"/>
      <c r="E31" s="1042"/>
      <c r="F31" s="1042"/>
      <c r="G31" s="1042"/>
      <c r="H31" s="1042"/>
      <c r="I31" s="1042"/>
      <c r="J31" s="1042"/>
      <c r="K31" s="1042"/>
      <c r="L31" s="1042"/>
      <c r="M31" s="1042"/>
      <c r="N31" s="1042"/>
      <c r="O31" s="1042"/>
      <c r="P31" s="1042"/>
      <c r="Q31" s="1042"/>
      <c r="R31" s="1042"/>
      <c r="S31" s="1042"/>
      <c r="T31" s="1042"/>
      <c r="U31" s="1042"/>
      <c r="V31" s="1042"/>
    </row>
    <row r="32" spans="1:22" ht="14.25" x14ac:dyDescent="0.2">
      <c r="A32" s="111"/>
      <c r="B32" s="111"/>
      <c r="C32" s="111"/>
      <c r="D32" s="111"/>
      <c r="E32" s="111"/>
      <c r="F32" s="111"/>
      <c r="G32" s="111"/>
      <c r="H32" s="111"/>
      <c r="I32" s="111"/>
      <c r="J32" s="111"/>
      <c r="K32" s="111"/>
      <c r="L32" s="111"/>
      <c r="M32" s="111"/>
      <c r="N32" s="111"/>
      <c r="O32" s="111"/>
      <c r="P32" s="111"/>
      <c r="Q32" s="111"/>
      <c r="R32" s="111"/>
      <c r="S32" s="111"/>
      <c r="T32" s="111"/>
      <c r="U32" s="111"/>
      <c r="V32" s="111"/>
    </row>
    <row r="33" spans="1:22" x14ac:dyDescent="0.2">
      <c r="A33" s="56"/>
      <c r="B33" s="56"/>
      <c r="C33" s="56"/>
      <c r="D33" s="56"/>
      <c r="E33" s="56"/>
      <c r="F33" s="56"/>
      <c r="G33" s="56"/>
      <c r="H33" s="56"/>
      <c r="I33" s="56"/>
      <c r="J33" s="56"/>
      <c r="K33" s="56"/>
      <c r="L33" s="56"/>
      <c r="M33" s="56"/>
      <c r="N33" s="56"/>
      <c r="O33" s="56"/>
      <c r="P33" s="56"/>
      <c r="Q33" s="56"/>
      <c r="R33" s="56"/>
    </row>
    <row r="34" spans="1:22" ht="15.75" x14ac:dyDescent="0.25">
      <c r="A34" s="64" t="s">
        <v>11</v>
      </c>
      <c r="B34" s="64"/>
      <c r="C34" s="64"/>
      <c r="D34" s="64"/>
      <c r="E34" s="64"/>
      <c r="F34" s="64"/>
      <c r="G34" s="64"/>
      <c r="H34" s="64"/>
      <c r="I34" s="64"/>
      <c r="J34" s="64"/>
      <c r="K34" s="64"/>
      <c r="L34" s="64"/>
      <c r="M34" s="64"/>
      <c r="N34" s="1024" t="s">
        <v>12</v>
      </c>
      <c r="O34" s="1024"/>
      <c r="P34" s="1024"/>
      <c r="Q34" s="1024"/>
      <c r="R34" s="1024"/>
      <c r="S34" s="1024"/>
      <c r="T34" s="1024"/>
      <c r="U34" s="1024"/>
      <c r="V34" s="1024"/>
    </row>
    <row r="35" spans="1:22" ht="15.75" x14ac:dyDescent="0.2">
      <c r="A35" s="1024" t="s">
        <v>13</v>
      </c>
      <c r="B35" s="1024"/>
      <c r="C35" s="1024"/>
      <c r="D35" s="1024"/>
      <c r="E35" s="1024"/>
      <c r="F35" s="1024"/>
      <c r="G35" s="1024"/>
      <c r="H35" s="1024"/>
      <c r="I35" s="1024"/>
      <c r="J35" s="1024"/>
      <c r="K35" s="1024"/>
      <c r="L35" s="1024"/>
      <c r="M35" s="1024"/>
      <c r="N35" s="1024"/>
      <c r="O35" s="1024"/>
      <c r="P35" s="1024"/>
      <c r="Q35" s="1024"/>
      <c r="R35" s="1024"/>
      <c r="S35" s="1024"/>
      <c r="T35" s="1024"/>
      <c r="U35" s="1024"/>
      <c r="V35" s="1024"/>
    </row>
    <row r="36" spans="1:22" ht="15.75" x14ac:dyDescent="0.2">
      <c r="A36" s="1024" t="s">
        <v>14</v>
      </c>
      <c r="B36" s="1024"/>
      <c r="C36" s="1024"/>
      <c r="D36" s="1024"/>
      <c r="E36" s="1024"/>
      <c r="F36" s="1024"/>
      <c r="G36" s="1024"/>
      <c r="H36" s="1024"/>
      <c r="I36" s="1024"/>
      <c r="J36" s="1024"/>
      <c r="K36" s="1024"/>
      <c r="L36" s="1024"/>
      <c r="M36" s="1024"/>
      <c r="N36" s="1024"/>
      <c r="O36" s="1024"/>
      <c r="P36" s="1024"/>
      <c r="Q36" s="1024"/>
      <c r="R36" s="1024"/>
      <c r="S36" s="1024"/>
      <c r="T36" s="1024"/>
      <c r="U36" s="1024"/>
      <c r="V36" s="1024"/>
    </row>
    <row r="37" spans="1:22" ht="15.75" x14ac:dyDescent="0.25">
      <c r="A37" s="525"/>
      <c r="B37" s="525"/>
      <c r="C37" s="525"/>
      <c r="D37" s="525"/>
      <c r="E37" s="525"/>
      <c r="F37" s="525"/>
      <c r="G37" s="525"/>
      <c r="H37" s="525"/>
      <c r="I37" s="525"/>
      <c r="J37" s="525"/>
      <c r="K37" s="525"/>
      <c r="L37" s="525"/>
      <c r="M37" s="525"/>
      <c r="N37" s="527"/>
      <c r="O37" s="527"/>
      <c r="P37" s="527"/>
      <c r="Q37" s="527"/>
      <c r="R37" s="527"/>
      <c r="S37" s="1025" t="s">
        <v>85</v>
      </c>
      <c r="T37" s="1025"/>
      <c r="U37" s="1025"/>
      <c r="V37" s="527"/>
    </row>
  </sheetData>
  <mergeCells count="37">
    <mergeCell ref="O27:V28"/>
    <mergeCell ref="A8:C8"/>
    <mergeCell ref="O8:V8"/>
    <mergeCell ref="O11:Q12"/>
    <mergeCell ref="R11:R13"/>
    <mergeCell ref="S11:U12"/>
    <mergeCell ref="B9:B13"/>
    <mergeCell ref="C9:E9"/>
    <mergeCell ref="F9:F13"/>
    <mergeCell ref="G9:N9"/>
    <mergeCell ref="O9:V9"/>
    <mergeCell ref="C10:C13"/>
    <mergeCell ref="D10:D13"/>
    <mergeCell ref="E10:E13"/>
    <mergeCell ref="G10:J10"/>
    <mergeCell ref="K10:N10"/>
    <mergeCell ref="A2:V2"/>
    <mergeCell ref="A3:V3"/>
    <mergeCell ref="A4:V4"/>
    <mergeCell ref="A5:V5"/>
    <mergeCell ref="U6:V6"/>
    <mergeCell ref="A35:V35"/>
    <mergeCell ref="A36:V36"/>
    <mergeCell ref="S37:U37"/>
    <mergeCell ref="V11:V13"/>
    <mergeCell ref="A15:U15"/>
    <mergeCell ref="O16:V21"/>
    <mergeCell ref="A26:V26"/>
    <mergeCell ref="A31:V31"/>
    <mergeCell ref="N34:V34"/>
    <mergeCell ref="A9:A13"/>
    <mergeCell ref="O10:R10"/>
    <mergeCell ref="S10:V10"/>
    <mergeCell ref="G11:I12"/>
    <mergeCell ref="J11:J13"/>
    <mergeCell ref="K11:M12"/>
    <mergeCell ref="N11:N13"/>
  </mergeCells>
  <printOptions horizontalCentered="1"/>
  <pageMargins left="0.28000000000000003" right="0.2" top="0.42" bottom="0" header="0.26" footer="0.31496062992125984"/>
  <pageSetup paperSize="9" scale="60" orientation="landscape" r:id="rId1"/>
  <colBreaks count="1" manualBreakCount="1">
    <brk id="2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R33"/>
  <sheetViews>
    <sheetView tabSelected="1" view="pageBreakPreview" topLeftCell="A9" zoomScale="89" zoomScaleSheetLayoutView="89" workbookViewId="0">
      <selection activeCell="A10" sqref="A10"/>
    </sheetView>
  </sheetViews>
  <sheetFormatPr defaultRowHeight="12.75" x14ac:dyDescent="0.2"/>
  <cols>
    <col min="1" max="1" width="2.42578125" style="116" customWidth="1"/>
    <col min="2" max="2" width="8.5703125" style="116" customWidth="1"/>
    <col min="3" max="3" width="24.5703125" style="116" customWidth="1"/>
    <col min="4" max="4" width="15.140625" style="116" customWidth="1"/>
    <col min="5" max="5" width="17.140625" style="116" customWidth="1"/>
    <col min="6" max="17" width="10" style="116" customWidth="1"/>
    <col min="18" max="16384" width="9.140625" style="116"/>
  </cols>
  <sheetData>
    <row r="1" spans="1:18" x14ac:dyDescent="0.2">
      <c r="A1" s="116" t="s">
        <v>10</v>
      </c>
      <c r="I1" s="1222"/>
      <c r="J1" s="1222"/>
      <c r="M1" s="186" t="s">
        <v>721</v>
      </c>
      <c r="N1" s="186"/>
      <c r="O1" s="186"/>
      <c r="P1" s="186"/>
    </row>
    <row r="2" spans="1:18" s="119" customFormat="1" ht="15.75" x14ac:dyDescent="0.25">
      <c r="A2" s="1133" t="s">
        <v>0</v>
      </c>
      <c r="B2" s="1133"/>
      <c r="C2" s="1133"/>
      <c r="D2" s="1133"/>
      <c r="E2" s="1133"/>
      <c r="F2" s="1133"/>
      <c r="G2" s="1133"/>
      <c r="H2" s="1133"/>
      <c r="I2" s="1133"/>
      <c r="J2" s="1133"/>
      <c r="K2" s="1133"/>
      <c r="L2" s="1133"/>
      <c r="M2" s="1133"/>
      <c r="N2" s="1133"/>
      <c r="O2" s="1133"/>
      <c r="P2" s="1133"/>
      <c r="Q2" s="1133"/>
    </row>
    <row r="3" spans="1:18" s="119" customFormat="1" ht="20.25" customHeight="1" x14ac:dyDescent="0.25">
      <c r="A3" s="1133" t="s">
        <v>794</v>
      </c>
      <c r="B3" s="1133"/>
      <c r="C3" s="1133"/>
      <c r="D3" s="1133"/>
      <c r="E3" s="1133"/>
      <c r="F3" s="1133"/>
      <c r="G3" s="1133"/>
      <c r="H3" s="1133"/>
      <c r="I3" s="1133"/>
      <c r="J3" s="1133"/>
      <c r="K3" s="1133"/>
      <c r="L3" s="1133"/>
      <c r="M3" s="1133"/>
      <c r="N3" s="1133"/>
      <c r="O3" s="1133"/>
      <c r="P3" s="1133"/>
      <c r="Q3" s="1133"/>
    </row>
    <row r="4" spans="1:18" s="119" customFormat="1" ht="18" x14ac:dyDescent="0.25">
      <c r="A4" s="1127" t="s">
        <v>835</v>
      </c>
      <c r="B4" s="1127"/>
      <c r="C4" s="1127"/>
      <c r="D4" s="1127"/>
      <c r="E4" s="1127"/>
      <c r="F4" s="1127"/>
      <c r="G4" s="1127"/>
      <c r="H4" s="1127"/>
      <c r="I4" s="1127"/>
      <c r="J4" s="1127"/>
      <c r="K4" s="1127"/>
      <c r="L4" s="1127"/>
      <c r="M4" s="1127"/>
      <c r="N4" s="1127"/>
      <c r="O4" s="1127"/>
      <c r="P4" s="1127"/>
      <c r="Q4" s="1127"/>
    </row>
    <row r="6" spans="1:18" x14ac:dyDescent="0.2">
      <c r="B6" s="1000" t="s">
        <v>463</v>
      </c>
      <c r="C6" s="1000"/>
      <c r="D6" s="1000"/>
      <c r="E6" s="121"/>
      <c r="F6" s="121"/>
      <c r="G6" s="121"/>
      <c r="H6" s="121"/>
      <c r="I6" s="121"/>
      <c r="J6" s="121"/>
      <c r="K6" s="121"/>
    </row>
    <row r="8" spans="1:18" s="122" customFormat="1" ht="15" customHeight="1" x14ac:dyDescent="0.2">
      <c r="A8" s="116"/>
      <c r="B8" s="116"/>
      <c r="C8" s="116"/>
      <c r="D8" s="116"/>
      <c r="E8" s="116"/>
      <c r="F8" s="116"/>
      <c r="G8" s="116"/>
      <c r="H8" s="116"/>
      <c r="I8" s="116"/>
      <c r="J8" s="116"/>
      <c r="K8" s="116"/>
      <c r="L8" s="1098" t="s">
        <v>927</v>
      </c>
      <c r="M8" s="1098"/>
      <c r="N8" s="1098"/>
      <c r="O8" s="1098"/>
      <c r="P8" s="1098"/>
      <c r="Q8" s="1098"/>
    </row>
    <row r="9" spans="1:18" s="122" customFormat="1" ht="20.25" customHeight="1" x14ac:dyDescent="0.2">
      <c r="A9" s="123"/>
      <c r="B9" s="1206" t="s">
        <v>2</v>
      </c>
      <c r="C9" s="1206" t="s">
        <v>3</v>
      </c>
      <c r="D9" s="1358" t="s">
        <v>303</v>
      </c>
      <c r="E9" s="1358" t="s">
        <v>722</v>
      </c>
      <c r="F9" s="1361" t="s">
        <v>887</v>
      </c>
      <c r="G9" s="1362"/>
      <c r="H9" s="1362"/>
      <c r="I9" s="1362"/>
      <c r="J9" s="1362"/>
      <c r="K9" s="1362"/>
      <c r="L9" s="1362"/>
      <c r="M9" s="1362"/>
      <c r="N9" s="1362"/>
      <c r="O9" s="1362"/>
      <c r="P9" s="1362"/>
      <c r="Q9" s="1363"/>
    </row>
    <row r="10" spans="1:18" s="122" customFormat="1" ht="54" customHeight="1" x14ac:dyDescent="0.25">
      <c r="A10" s="124"/>
      <c r="B10" s="1237"/>
      <c r="C10" s="1237"/>
      <c r="D10" s="1359"/>
      <c r="E10" s="1359"/>
      <c r="F10" s="281" t="s">
        <v>305</v>
      </c>
      <c r="G10" s="281" t="s">
        <v>306</v>
      </c>
      <c r="H10" s="281" t="s">
        <v>307</v>
      </c>
      <c r="I10" s="281" t="s">
        <v>308</v>
      </c>
      <c r="J10" s="281" t="s">
        <v>309</v>
      </c>
      <c r="K10" s="281" t="s">
        <v>310</v>
      </c>
      <c r="L10" s="281" t="s">
        <v>311</v>
      </c>
      <c r="M10" s="281" t="s">
        <v>312</v>
      </c>
      <c r="N10" s="281" t="s">
        <v>313</v>
      </c>
      <c r="O10" s="281" t="s">
        <v>924</v>
      </c>
      <c r="P10" s="281" t="s">
        <v>925</v>
      </c>
      <c r="Q10" s="281" t="s">
        <v>926</v>
      </c>
    </row>
    <row r="11" spans="1:18" s="122" customFormat="1" ht="12.75" customHeight="1" x14ac:dyDescent="0.2">
      <c r="B11" s="282">
        <v>1</v>
      </c>
      <c r="C11" s="282">
        <v>2</v>
      </c>
      <c r="D11" s="282">
        <v>3</v>
      </c>
      <c r="E11" s="282">
        <v>4</v>
      </c>
      <c r="F11" s="282">
        <v>5</v>
      </c>
      <c r="G11" s="282">
        <v>6</v>
      </c>
      <c r="H11" s="282">
        <v>7</v>
      </c>
      <c r="I11" s="282">
        <v>8</v>
      </c>
      <c r="J11" s="282">
        <v>9</v>
      </c>
      <c r="K11" s="282">
        <v>10</v>
      </c>
      <c r="L11" s="282">
        <v>11</v>
      </c>
      <c r="M11" s="282">
        <v>12</v>
      </c>
      <c r="N11" s="282">
        <v>13</v>
      </c>
      <c r="O11" s="282">
        <v>14</v>
      </c>
      <c r="P11" s="282">
        <v>15</v>
      </c>
      <c r="Q11" s="282">
        <v>16</v>
      </c>
    </row>
    <row r="12" spans="1:18" ht="20.100000000000001" customHeight="1" x14ac:dyDescent="0.2">
      <c r="B12" s="194">
        <v>1</v>
      </c>
      <c r="C12" s="225" t="s">
        <v>392</v>
      </c>
      <c r="D12" s="270">
        <v>1864</v>
      </c>
      <c r="E12" s="270">
        <v>1491</v>
      </c>
      <c r="F12" s="270">
        <v>637</v>
      </c>
      <c r="G12" s="270">
        <v>641</v>
      </c>
      <c r="H12" s="270">
        <v>110</v>
      </c>
      <c r="I12" s="270">
        <v>643</v>
      </c>
      <c r="J12" s="270">
        <v>1125</v>
      </c>
      <c r="K12" s="270">
        <v>1394</v>
      </c>
      <c r="L12" s="270">
        <v>1491</v>
      </c>
      <c r="M12" s="270">
        <v>1490</v>
      </c>
      <c r="N12" s="270">
        <v>1447</v>
      </c>
      <c r="O12" s="270">
        <v>1213</v>
      </c>
      <c r="P12" s="270">
        <v>1386</v>
      </c>
      <c r="Q12" s="270">
        <v>1298</v>
      </c>
    </row>
    <row r="13" spans="1:18" ht="20.100000000000001" customHeight="1" x14ac:dyDescent="0.2">
      <c r="A13" s="125"/>
      <c r="B13" s="194">
        <v>2</v>
      </c>
      <c r="C13" s="225" t="s">
        <v>393</v>
      </c>
      <c r="D13" s="270">
        <v>819</v>
      </c>
      <c r="E13" s="270">
        <v>701</v>
      </c>
      <c r="F13" s="270">
        <v>270</v>
      </c>
      <c r="G13" s="270">
        <v>282</v>
      </c>
      <c r="H13" s="270">
        <v>7</v>
      </c>
      <c r="I13" s="270">
        <v>318</v>
      </c>
      <c r="J13" s="270">
        <v>672</v>
      </c>
      <c r="K13" s="270">
        <v>636</v>
      </c>
      <c r="L13" s="270">
        <v>634</v>
      </c>
      <c r="M13" s="270">
        <v>701</v>
      </c>
      <c r="N13" s="270">
        <v>698</v>
      </c>
      <c r="O13" s="270">
        <v>624</v>
      </c>
      <c r="P13" s="270">
        <v>617</v>
      </c>
      <c r="Q13" s="270">
        <v>557</v>
      </c>
    </row>
    <row r="14" spans="1:18" ht="20.100000000000001" customHeight="1" x14ac:dyDescent="0.2">
      <c r="B14" s="194">
        <v>3</v>
      </c>
      <c r="C14" s="225" t="s">
        <v>394</v>
      </c>
      <c r="D14" s="270">
        <v>1406</v>
      </c>
      <c r="E14" s="270">
        <v>1115</v>
      </c>
      <c r="F14" s="270">
        <v>737</v>
      </c>
      <c r="G14" s="270">
        <v>739</v>
      </c>
      <c r="H14" s="270">
        <v>55</v>
      </c>
      <c r="I14" s="270">
        <v>802</v>
      </c>
      <c r="J14" s="270">
        <v>961</v>
      </c>
      <c r="K14" s="270">
        <v>1011</v>
      </c>
      <c r="L14" s="270">
        <v>1115</v>
      </c>
      <c r="M14" s="270">
        <v>1032</v>
      </c>
      <c r="N14" s="270">
        <v>1034</v>
      </c>
      <c r="O14" s="270">
        <v>957</v>
      </c>
      <c r="P14" s="270">
        <v>1011</v>
      </c>
      <c r="Q14" s="270">
        <v>953</v>
      </c>
    </row>
    <row r="15" spans="1:18" s="87" customFormat="1" ht="20.100000000000001" customHeight="1" x14ac:dyDescent="0.2">
      <c r="B15" s="194">
        <v>4</v>
      </c>
      <c r="C15" s="225" t="s">
        <v>395</v>
      </c>
      <c r="D15" s="270">
        <v>714</v>
      </c>
      <c r="E15" s="270">
        <v>607</v>
      </c>
      <c r="F15" s="270">
        <v>453</v>
      </c>
      <c r="G15" s="270">
        <v>453</v>
      </c>
      <c r="H15" s="270">
        <v>173</v>
      </c>
      <c r="I15" s="270">
        <v>460</v>
      </c>
      <c r="J15" s="270">
        <v>568</v>
      </c>
      <c r="K15" s="270">
        <v>607</v>
      </c>
      <c r="L15" s="270">
        <v>596</v>
      </c>
      <c r="M15" s="270">
        <v>582</v>
      </c>
      <c r="N15" s="270">
        <v>568</v>
      </c>
      <c r="O15" s="270">
        <v>355</v>
      </c>
      <c r="P15" s="270">
        <v>545</v>
      </c>
      <c r="Q15" s="270">
        <v>552</v>
      </c>
      <c r="R15" s="116"/>
    </row>
    <row r="16" spans="1:18" s="87" customFormat="1" ht="20.100000000000001" customHeight="1" x14ac:dyDescent="0.2">
      <c r="B16" s="194">
        <v>5</v>
      </c>
      <c r="C16" s="227" t="s">
        <v>396</v>
      </c>
      <c r="D16" s="244">
        <v>1442</v>
      </c>
      <c r="E16" s="244">
        <v>726</v>
      </c>
      <c r="F16" s="244">
        <v>287</v>
      </c>
      <c r="G16" s="244">
        <v>295</v>
      </c>
      <c r="H16" s="244">
        <v>21</v>
      </c>
      <c r="I16" s="244">
        <v>320</v>
      </c>
      <c r="J16" s="244">
        <v>503</v>
      </c>
      <c r="K16" s="244">
        <v>600</v>
      </c>
      <c r="L16" s="244">
        <v>726</v>
      </c>
      <c r="M16" s="244">
        <v>730</v>
      </c>
      <c r="N16" s="244">
        <v>685</v>
      </c>
      <c r="O16" s="244">
        <v>599</v>
      </c>
      <c r="P16" s="244">
        <v>616</v>
      </c>
      <c r="Q16" s="244">
        <v>664</v>
      </c>
    </row>
    <row r="17" spans="1:17" s="87" customFormat="1" ht="20.100000000000001" customHeight="1" x14ac:dyDescent="0.2">
      <c r="A17" s="126" t="s">
        <v>314</v>
      </c>
      <c r="B17" s="194">
        <v>6</v>
      </c>
      <c r="C17" s="225" t="s">
        <v>397</v>
      </c>
      <c r="D17" s="244">
        <v>1086</v>
      </c>
      <c r="E17" s="244">
        <v>729</v>
      </c>
      <c r="F17" s="244">
        <v>185</v>
      </c>
      <c r="G17" s="244">
        <v>189</v>
      </c>
      <c r="H17" s="244">
        <v>0</v>
      </c>
      <c r="I17" s="244">
        <v>195</v>
      </c>
      <c r="J17" s="244">
        <v>616</v>
      </c>
      <c r="K17" s="244">
        <v>678</v>
      </c>
      <c r="L17" s="244">
        <v>703</v>
      </c>
      <c r="M17" s="244">
        <v>697</v>
      </c>
      <c r="N17" s="244">
        <v>723</v>
      </c>
      <c r="O17" s="244">
        <v>729</v>
      </c>
      <c r="P17" s="244">
        <v>700</v>
      </c>
      <c r="Q17" s="244">
        <v>630</v>
      </c>
    </row>
    <row r="18" spans="1:17" ht="20.100000000000001" customHeight="1" x14ac:dyDescent="0.2">
      <c r="B18" s="194">
        <v>7</v>
      </c>
      <c r="C18" s="227" t="s">
        <v>398</v>
      </c>
      <c r="D18" s="270">
        <v>1427</v>
      </c>
      <c r="E18" s="270">
        <v>1089</v>
      </c>
      <c r="F18" s="270">
        <v>285</v>
      </c>
      <c r="G18" s="270">
        <v>299</v>
      </c>
      <c r="H18" s="270">
        <v>68</v>
      </c>
      <c r="I18" s="270">
        <v>308</v>
      </c>
      <c r="J18" s="270">
        <v>709</v>
      </c>
      <c r="K18" s="270">
        <v>943</v>
      </c>
      <c r="L18" s="270">
        <v>1062</v>
      </c>
      <c r="M18" s="270">
        <v>1089</v>
      </c>
      <c r="N18" s="270">
        <v>1081</v>
      </c>
      <c r="O18" s="270">
        <v>886</v>
      </c>
      <c r="P18" s="270">
        <v>1023</v>
      </c>
      <c r="Q18" s="270">
        <v>980</v>
      </c>
    </row>
    <row r="19" spans="1:17" ht="20.100000000000001" customHeight="1" x14ac:dyDescent="0.2">
      <c r="B19" s="194">
        <v>8</v>
      </c>
      <c r="C19" s="225" t="s">
        <v>399</v>
      </c>
      <c r="D19" s="270">
        <v>2224</v>
      </c>
      <c r="E19" s="270">
        <v>1995</v>
      </c>
      <c r="F19" s="270">
        <v>1634</v>
      </c>
      <c r="G19" s="270">
        <v>1646</v>
      </c>
      <c r="H19" s="270">
        <v>21</v>
      </c>
      <c r="I19" s="270">
        <v>1723</v>
      </c>
      <c r="J19" s="270">
        <v>1980</v>
      </c>
      <c r="K19" s="270">
        <v>1995</v>
      </c>
      <c r="L19" s="270">
        <v>168</v>
      </c>
      <c r="M19" s="270">
        <v>1935</v>
      </c>
      <c r="N19" s="270">
        <v>1960</v>
      </c>
      <c r="O19" s="270">
        <v>1931</v>
      </c>
      <c r="P19" s="270">
        <v>1933</v>
      </c>
      <c r="Q19" s="270">
        <v>1816</v>
      </c>
    </row>
    <row r="20" spans="1:17" ht="20.100000000000001" customHeight="1" x14ac:dyDescent="0.2">
      <c r="B20" s="194">
        <v>9</v>
      </c>
      <c r="C20" s="225" t="s">
        <v>400</v>
      </c>
      <c r="D20" s="270">
        <v>1559</v>
      </c>
      <c r="E20" s="270">
        <v>980</v>
      </c>
      <c r="F20" s="270">
        <v>721</v>
      </c>
      <c r="G20" s="270">
        <v>737</v>
      </c>
      <c r="H20" s="270">
        <v>212</v>
      </c>
      <c r="I20" s="270">
        <v>707</v>
      </c>
      <c r="J20" s="270">
        <v>703</v>
      </c>
      <c r="K20" s="270">
        <v>782</v>
      </c>
      <c r="L20" s="270">
        <v>964</v>
      </c>
      <c r="M20" s="270">
        <v>980</v>
      </c>
      <c r="N20" s="270">
        <v>961</v>
      </c>
      <c r="O20" s="270">
        <v>745</v>
      </c>
      <c r="P20" s="270">
        <v>972</v>
      </c>
      <c r="Q20" s="270">
        <v>921</v>
      </c>
    </row>
    <row r="21" spans="1:17" ht="20.100000000000001" customHeight="1" x14ac:dyDescent="0.2">
      <c r="B21" s="194">
        <v>10</v>
      </c>
      <c r="C21" s="225" t="s">
        <v>401</v>
      </c>
      <c r="D21" s="270">
        <v>814</v>
      </c>
      <c r="E21" s="270">
        <v>636</v>
      </c>
      <c r="F21" s="270">
        <v>551</v>
      </c>
      <c r="G21" s="270">
        <v>555</v>
      </c>
      <c r="H21" s="270">
        <v>0</v>
      </c>
      <c r="I21" s="270">
        <v>548</v>
      </c>
      <c r="J21" s="270">
        <v>636</v>
      </c>
      <c r="K21" s="270">
        <v>608</v>
      </c>
      <c r="L21" s="270">
        <v>631</v>
      </c>
      <c r="M21" s="270">
        <v>609</v>
      </c>
      <c r="N21" s="270">
        <v>601</v>
      </c>
      <c r="O21" s="270">
        <v>603</v>
      </c>
      <c r="P21" s="270">
        <v>598</v>
      </c>
      <c r="Q21" s="270">
        <v>541</v>
      </c>
    </row>
    <row r="22" spans="1:17" ht="20.100000000000001" customHeight="1" x14ac:dyDescent="0.2">
      <c r="B22" s="194">
        <v>11</v>
      </c>
      <c r="C22" s="225" t="s">
        <v>402</v>
      </c>
      <c r="D22" s="270">
        <v>1988</v>
      </c>
      <c r="E22" s="270">
        <v>1676</v>
      </c>
      <c r="F22" s="270">
        <v>1047</v>
      </c>
      <c r="G22" s="270">
        <v>1051</v>
      </c>
      <c r="H22" s="270">
        <v>11</v>
      </c>
      <c r="I22" s="270">
        <v>1127</v>
      </c>
      <c r="J22" s="270">
        <v>1471</v>
      </c>
      <c r="K22" s="270">
        <v>1567</v>
      </c>
      <c r="L22" s="270">
        <v>1676</v>
      </c>
      <c r="M22" s="270">
        <v>1637</v>
      </c>
      <c r="N22" s="270">
        <v>1593</v>
      </c>
      <c r="O22" s="270">
        <v>1542</v>
      </c>
      <c r="P22" s="270">
        <v>1513</v>
      </c>
      <c r="Q22" s="270">
        <v>1399</v>
      </c>
    </row>
    <row r="23" spans="1:17" ht="20.100000000000001" customHeight="1" x14ac:dyDescent="0.2">
      <c r="B23" s="194">
        <v>12</v>
      </c>
      <c r="C23" s="225" t="s">
        <v>403</v>
      </c>
      <c r="D23" s="270">
        <v>1255</v>
      </c>
      <c r="E23" s="270">
        <v>1007</v>
      </c>
      <c r="F23" s="270">
        <v>758</v>
      </c>
      <c r="G23" s="270">
        <v>759</v>
      </c>
      <c r="H23" s="270">
        <v>0</v>
      </c>
      <c r="I23" s="270">
        <v>807</v>
      </c>
      <c r="J23" s="270">
        <v>951</v>
      </c>
      <c r="K23" s="270">
        <v>974</v>
      </c>
      <c r="L23" s="270">
        <v>1007</v>
      </c>
      <c r="M23" s="270">
        <v>1005</v>
      </c>
      <c r="N23" s="270">
        <v>1001</v>
      </c>
      <c r="O23" s="270">
        <v>901</v>
      </c>
      <c r="P23" s="270">
        <v>926</v>
      </c>
      <c r="Q23" s="270">
        <v>865</v>
      </c>
    </row>
    <row r="24" spans="1:17" ht="20.100000000000001" customHeight="1" x14ac:dyDescent="0.2">
      <c r="B24" s="194">
        <v>13</v>
      </c>
      <c r="C24" s="225" t="s">
        <v>404</v>
      </c>
      <c r="D24" s="270">
        <v>1066</v>
      </c>
      <c r="E24" s="270">
        <v>701</v>
      </c>
      <c r="F24" s="270">
        <v>628</v>
      </c>
      <c r="G24" s="270">
        <v>631</v>
      </c>
      <c r="H24" s="270">
        <v>49</v>
      </c>
      <c r="I24" s="270">
        <v>648</v>
      </c>
      <c r="J24" s="270">
        <v>701</v>
      </c>
      <c r="K24" s="270">
        <v>683</v>
      </c>
      <c r="L24" s="270">
        <v>693</v>
      </c>
      <c r="M24" s="270">
        <v>625</v>
      </c>
      <c r="N24" s="270">
        <v>621</v>
      </c>
      <c r="O24" s="270">
        <v>576</v>
      </c>
      <c r="P24" s="270">
        <v>610</v>
      </c>
      <c r="Q24" s="270">
        <v>557</v>
      </c>
    </row>
    <row r="25" spans="1:17" ht="20.100000000000001" customHeight="1" x14ac:dyDescent="0.2">
      <c r="B25" s="232" t="s">
        <v>18</v>
      </c>
      <c r="C25" s="232"/>
      <c r="D25" s="233">
        <f>SUM(D12:D24)</f>
        <v>17664</v>
      </c>
      <c r="E25" s="233">
        <f t="shared" ref="E25:M25" si="0">SUM(E12:E24)</f>
        <v>13453</v>
      </c>
      <c r="F25" s="233">
        <f t="shared" si="0"/>
        <v>8193</v>
      </c>
      <c r="G25" s="233">
        <f t="shared" si="0"/>
        <v>8277</v>
      </c>
      <c r="H25" s="233">
        <f t="shared" si="0"/>
        <v>727</v>
      </c>
      <c r="I25" s="233">
        <f t="shared" si="0"/>
        <v>8606</v>
      </c>
      <c r="J25" s="233">
        <f t="shared" si="0"/>
        <v>11596</v>
      </c>
      <c r="K25" s="233">
        <f t="shared" si="0"/>
        <v>12478</v>
      </c>
      <c r="L25" s="233">
        <f t="shared" si="0"/>
        <v>11466</v>
      </c>
      <c r="M25" s="233">
        <f t="shared" si="0"/>
        <v>13112</v>
      </c>
      <c r="N25" s="233">
        <f>SUM(N12:N24)</f>
        <v>12973</v>
      </c>
      <c r="O25" s="233">
        <f>SUM(O12:O24)</f>
        <v>11661</v>
      </c>
      <c r="P25" s="233">
        <f>SUM(P12:P24)</f>
        <v>12450</v>
      </c>
      <c r="Q25" s="233">
        <f>SUM(Q12:Q24)</f>
        <v>11733</v>
      </c>
    </row>
    <row r="26" spans="1:17" ht="20.100000000000001" customHeight="1" x14ac:dyDescent="0.2">
      <c r="B26" s="373"/>
      <c r="C26" s="373"/>
      <c r="D26" s="528"/>
    </row>
    <row r="27" spans="1:17" ht="20.100000000000001" customHeight="1" x14ac:dyDescent="0.2">
      <c r="B27" s="373"/>
      <c r="C27" s="373"/>
      <c r="D27" s="528"/>
      <c r="E27" s="528"/>
      <c r="F27" s="528"/>
      <c r="G27" s="528"/>
      <c r="H27" s="528"/>
      <c r="I27" s="528"/>
      <c r="J27" s="528"/>
      <c r="K27" s="528"/>
      <c r="L27" s="528"/>
      <c r="M27" s="528"/>
      <c r="N27" s="528"/>
      <c r="O27" s="528"/>
      <c r="P27" s="528"/>
      <c r="Q27" s="528"/>
    </row>
    <row r="28" spans="1:17" ht="20.25" customHeight="1" x14ac:dyDescent="0.2">
      <c r="E28" s="929">
        <f>E25/D25</f>
        <v>0.76160552536231885</v>
      </c>
      <c r="F28" s="929">
        <f>F25/D25</f>
        <v>0.46382472826086957</v>
      </c>
      <c r="G28" s="929">
        <f>G25/D25</f>
        <v>0.46858016304347827</v>
      </c>
      <c r="H28" s="929">
        <f>H25/D25</f>
        <v>4.1157155797101448E-2</v>
      </c>
      <c r="I28" s="929">
        <f>I25/D25</f>
        <v>0.48720561594202899</v>
      </c>
      <c r="J28" s="929">
        <f>J25/D25</f>
        <v>0.65647644927536231</v>
      </c>
      <c r="K28" s="929">
        <f>K25/D25</f>
        <v>0.70640851449275366</v>
      </c>
      <c r="L28" s="929">
        <f>L25/D25</f>
        <v>0.64911684782608692</v>
      </c>
      <c r="M28" s="930">
        <f>M25/D25</f>
        <v>0.74230072463768115</v>
      </c>
      <c r="N28" s="929">
        <f>N25/D25</f>
        <v>0.73443161231884058</v>
      </c>
      <c r="O28" s="929">
        <f>O25/D25</f>
        <v>0.66015625</v>
      </c>
      <c r="P28" s="929">
        <f>P25/D25</f>
        <v>0.70482336956521741</v>
      </c>
      <c r="Q28" s="929">
        <f>Q25/D25</f>
        <v>0.66423233695652173</v>
      </c>
    </row>
    <row r="30" spans="1:17" x14ac:dyDescent="0.2">
      <c r="I30" s="1187" t="s">
        <v>646</v>
      </c>
      <c r="J30" s="1187"/>
      <c r="K30" s="1187"/>
      <c r="L30" s="1187"/>
      <c r="M30" s="1187"/>
      <c r="N30" s="1187"/>
      <c r="O30" s="1187"/>
      <c r="P30" s="1187"/>
      <c r="Q30" s="1187"/>
    </row>
    <row r="31" spans="1:17" x14ac:dyDescent="0.2">
      <c r="I31" s="1274" t="s">
        <v>13</v>
      </c>
      <c r="J31" s="1274"/>
      <c r="K31" s="1274"/>
      <c r="L31" s="1274"/>
      <c r="M31" s="1274"/>
      <c r="N31" s="1274"/>
      <c r="O31" s="1274"/>
      <c r="P31" s="1274"/>
      <c r="Q31" s="1274"/>
    </row>
    <row r="32" spans="1:17" x14ac:dyDescent="0.2">
      <c r="I32" s="1274" t="s">
        <v>88</v>
      </c>
      <c r="J32" s="1274"/>
      <c r="K32" s="1274"/>
      <c r="L32" s="1274"/>
      <c r="M32" s="1274"/>
      <c r="N32" s="1274"/>
      <c r="O32" s="1274"/>
      <c r="P32" s="1274"/>
      <c r="Q32" s="1274"/>
    </row>
    <row r="33" spans="2:17" x14ac:dyDescent="0.2">
      <c r="B33" s="116" t="s">
        <v>11</v>
      </c>
      <c r="I33" s="1357" t="s">
        <v>85</v>
      </c>
      <c r="J33" s="1357"/>
      <c r="K33" s="1357"/>
      <c r="L33" s="1357"/>
      <c r="M33" s="338"/>
      <c r="N33" s="828"/>
      <c r="O33" s="828"/>
      <c r="P33" s="828"/>
      <c r="Q33" s="338"/>
    </row>
  </sheetData>
  <mergeCells count="15">
    <mergeCell ref="L8:Q8"/>
    <mergeCell ref="I1:J1"/>
    <mergeCell ref="A2:Q2"/>
    <mergeCell ref="A3:Q3"/>
    <mergeCell ref="A4:Q4"/>
    <mergeCell ref="B6:D6"/>
    <mergeCell ref="I31:Q31"/>
    <mergeCell ref="I32:Q32"/>
    <mergeCell ref="I33:L33"/>
    <mergeCell ref="B9:B10"/>
    <mergeCell ref="C9:C10"/>
    <mergeCell ref="D9:D10"/>
    <mergeCell ref="E9:E10"/>
    <mergeCell ref="I30:Q30"/>
    <mergeCell ref="F9:Q9"/>
  </mergeCells>
  <printOptions horizontalCentered="1"/>
  <pageMargins left="0.43" right="0.33" top="0.23622047244094491" bottom="0" header="0.31496062992125984" footer="0.31496062992125984"/>
  <pageSetup paperSize="9" scale="7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30"/>
  <sheetViews>
    <sheetView workbookViewId="0">
      <selection activeCell="N16" sqref="N16"/>
    </sheetView>
  </sheetViews>
  <sheetFormatPr defaultColWidth="10.140625" defaultRowHeight="12.75" x14ac:dyDescent="0.2"/>
  <cols>
    <col min="1" max="1" width="7" customWidth="1"/>
    <col min="2" max="2" width="16.42578125" customWidth="1"/>
    <col min="3" max="3" width="10.140625" customWidth="1"/>
    <col min="4" max="4" width="8.7109375" customWidth="1"/>
    <col min="5" max="10" width="10.140625" customWidth="1"/>
    <col min="11" max="11" width="9.28515625" customWidth="1"/>
    <col min="12" max="12" width="10.140625" customWidth="1"/>
    <col min="13" max="13" width="9.28515625" customWidth="1"/>
  </cols>
  <sheetData>
    <row r="1" spans="1:14" ht="16.5" x14ac:dyDescent="0.3">
      <c r="H1" s="1373" t="s">
        <v>693</v>
      </c>
      <c r="I1" s="1373"/>
      <c r="J1" s="1373"/>
      <c r="K1" s="1373"/>
      <c r="L1" s="1373"/>
      <c r="M1" s="1373"/>
      <c r="N1" s="1373"/>
    </row>
    <row r="2" spans="1:14" ht="18" customHeight="1" x14ac:dyDescent="0.35">
      <c r="A2" s="1201" t="s">
        <v>0</v>
      </c>
      <c r="B2" s="1201"/>
      <c r="C2" s="1201"/>
      <c r="D2" s="1201"/>
      <c r="E2" s="1201"/>
      <c r="F2" s="1201"/>
      <c r="G2" s="1201"/>
      <c r="H2" s="1201"/>
      <c r="I2" s="1201"/>
      <c r="J2" s="1201"/>
      <c r="K2" s="1201"/>
      <c r="L2" s="1201"/>
      <c r="M2" s="1201"/>
      <c r="N2" s="1201"/>
    </row>
    <row r="3" spans="1:14" ht="21" x14ac:dyDescent="0.35">
      <c r="A3" s="1231" t="s">
        <v>794</v>
      </c>
      <c r="B3" s="1231"/>
      <c r="C3" s="1231"/>
      <c r="D3" s="1231"/>
      <c r="E3" s="1231"/>
      <c r="F3" s="1231"/>
      <c r="G3" s="1231"/>
      <c r="H3" s="1231"/>
      <c r="I3" s="1231"/>
      <c r="J3" s="1231"/>
      <c r="K3" s="1231"/>
      <c r="L3" s="1231"/>
      <c r="M3" s="1231"/>
      <c r="N3" s="1231"/>
    </row>
    <row r="4" spans="1:14" s="341" customFormat="1" ht="21" x14ac:dyDescent="0.2">
      <c r="A4" s="1374" t="s">
        <v>692</v>
      </c>
      <c r="B4" s="1374"/>
      <c r="C4" s="1374"/>
      <c r="D4" s="1374"/>
      <c r="E4" s="1374"/>
      <c r="F4" s="1374"/>
      <c r="G4" s="1374"/>
      <c r="H4" s="1374"/>
      <c r="I4" s="1374"/>
      <c r="J4" s="1374"/>
      <c r="K4" s="1374"/>
      <c r="L4" s="1374"/>
      <c r="M4" s="1374"/>
      <c r="N4" s="1374"/>
    </row>
    <row r="5" spans="1:14" x14ac:dyDescent="0.2">
      <c r="A5" s="1162" t="s">
        <v>590</v>
      </c>
      <c r="B5" s="1162"/>
      <c r="C5" s="1162"/>
      <c r="D5" s="1162"/>
      <c r="E5" s="1162"/>
      <c r="F5" s="1162"/>
      <c r="G5" s="1162"/>
      <c r="H5" s="1088" t="s">
        <v>927</v>
      </c>
      <c r="I5" s="1088"/>
      <c r="J5" s="1088"/>
      <c r="K5" s="1088"/>
      <c r="L5" s="1088"/>
      <c r="M5" s="1088"/>
      <c r="N5" s="1088"/>
    </row>
    <row r="6" spans="1:14" x14ac:dyDescent="0.2">
      <c r="A6" s="1364" t="s">
        <v>75</v>
      </c>
      <c r="B6" s="1364" t="s">
        <v>326</v>
      </c>
      <c r="C6" s="1367" t="s">
        <v>549</v>
      </c>
      <c r="D6" s="1368"/>
      <c r="E6" s="1368"/>
      <c r="F6" s="1368"/>
      <c r="G6" s="1369"/>
      <c r="H6" s="1190" t="s">
        <v>550</v>
      </c>
      <c r="I6" s="1190"/>
      <c r="J6" s="1190"/>
      <c r="K6" s="1190"/>
      <c r="L6" s="1190"/>
      <c r="M6" s="1190"/>
      <c r="N6" s="1191" t="s">
        <v>327</v>
      </c>
    </row>
    <row r="7" spans="1:14" x14ac:dyDescent="0.2">
      <c r="A7" s="1365"/>
      <c r="B7" s="1365"/>
      <c r="C7" s="1370"/>
      <c r="D7" s="1371"/>
      <c r="E7" s="1371"/>
      <c r="F7" s="1371"/>
      <c r="G7" s="1372"/>
      <c r="H7" s="1190"/>
      <c r="I7" s="1190"/>
      <c r="J7" s="1190"/>
      <c r="K7" s="1190"/>
      <c r="L7" s="1190"/>
      <c r="M7" s="1190"/>
      <c r="N7" s="1192"/>
    </row>
    <row r="8" spans="1:14" x14ac:dyDescent="0.2">
      <c r="A8" s="1365"/>
      <c r="B8" s="1365"/>
      <c r="C8" s="1370"/>
      <c r="D8" s="1371"/>
      <c r="E8" s="1371"/>
      <c r="F8" s="1371"/>
      <c r="G8" s="1372"/>
      <c r="H8" s="1190"/>
      <c r="I8" s="1190"/>
      <c r="J8" s="1190"/>
      <c r="K8" s="1190"/>
      <c r="L8" s="1190"/>
      <c r="M8" s="1190"/>
      <c r="N8" s="1192"/>
    </row>
    <row r="9" spans="1:14" ht="71.25" x14ac:dyDescent="0.2">
      <c r="A9" s="1366"/>
      <c r="B9" s="1366"/>
      <c r="C9" s="317" t="s">
        <v>328</v>
      </c>
      <c r="D9" s="317" t="s">
        <v>329</v>
      </c>
      <c r="E9" s="317" t="s">
        <v>330</v>
      </c>
      <c r="F9" s="317" t="s">
        <v>331</v>
      </c>
      <c r="G9" s="317" t="s">
        <v>332</v>
      </c>
      <c r="H9" s="318" t="s">
        <v>551</v>
      </c>
      <c r="I9" s="318" t="s">
        <v>552</v>
      </c>
      <c r="J9" s="318" t="s">
        <v>553</v>
      </c>
      <c r="K9" s="318" t="s">
        <v>554</v>
      </c>
      <c r="L9" s="318" t="s">
        <v>555</v>
      </c>
      <c r="M9" s="318" t="s">
        <v>48</v>
      </c>
      <c r="N9" s="1193"/>
    </row>
    <row r="10" spans="1:14" ht="15" x14ac:dyDescent="0.25">
      <c r="A10" s="311">
        <v>1</v>
      </c>
      <c r="B10" s="311">
        <v>2</v>
      </c>
      <c r="C10" s="311">
        <v>3</v>
      </c>
      <c r="D10" s="311">
        <v>4</v>
      </c>
      <c r="E10" s="311">
        <v>5</v>
      </c>
      <c r="F10" s="311">
        <v>6</v>
      </c>
      <c r="G10" s="311">
        <v>7</v>
      </c>
      <c r="H10" s="311">
        <v>8</v>
      </c>
      <c r="I10" s="311">
        <v>9</v>
      </c>
      <c r="J10" s="311">
        <v>10</v>
      </c>
      <c r="K10" s="311">
        <v>11</v>
      </c>
      <c r="L10" s="311">
        <v>12</v>
      </c>
      <c r="M10" s="311">
        <v>13</v>
      </c>
      <c r="N10" s="311">
        <v>14</v>
      </c>
    </row>
    <row r="11" spans="1:14" ht="15" x14ac:dyDescent="0.2">
      <c r="A11" s="218">
        <v>1</v>
      </c>
      <c r="B11" s="225" t="s">
        <v>392</v>
      </c>
      <c r="C11" s="339">
        <v>0</v>
      </c>
      <c r="D11" s="339">
        <v>0</v>
      </c>
      <c r="E11" s="339">
        <v>0</v>
      </c>
      <c r="F11" s="339">
        <v>0</v>
      </c>
      <c r="G11" s="339">
        <v>0</v>
      </c>
      <c r="H11" s="339">
        <v>0</v>
      </c>
      <c r="I11" s="339">
        <v>0</v>
      </c>
      <c r="J11" s="339">
        <v>0</v>
      </c>
      <c r="K11" s="339">
        <v>0</v>
      </c>
      <c r="L11" s="339">
        <v>0</v>
      </c>
      <c r="M11" s="339">
        <v>0</v>
      </c>
      <c r="N11" s="312"/>
    </row>
    <row r="12" spans="1:14" ht="15" x14ac:dyDescent="0.2">
      <c r="A12" s="218">
        <v>2</v>
      </c>
      <c r="B12" s="225" t="s">
        <v>393</v>
      </c>
      <c r="C12" s="339">
        <v>0</v>
      </c>
      <c r="D12" s="339">
        <v>0</v>
      </c>
      <c r="E12" s="339">
        <v>0</v>
      </c>
      <c r="F12" s="339">
        <v>0</v>
      </c>
      <c r="G12" s="339">
        <v>0</v>
      </c>
      <c r="H12" s="339">
        <v>0</v>
      </c>
      <c r="I12" s="339">
        <v>0</v>
      </c>
      <c r="J12" s="339">
        <v>0</v>
      </c>
      <c r="K12" s="339">
        <v>0</v>
      </c>
      <c r="L12" s="339">
        <v>0</v>
      </c>
      <c r="M12" s="339">
        <v>0</v>
      </c>
      <c r="N12" s="313"/>
    </row>
    <row r="13" spans="1:14" ht="15" x14ac:dyDescent="0.2">
      <c r="A13" s="218">
        <v>3</v>
      </c>
      <c r="B13" s="225" t="s">
        <v>394</v>
      </c>
      <c r="C13" s="339">
        <v>0</v>
      </c>
      <c r="D13" s="339">
        <v>0</v>
      </c>
      <c r="E13" s="339">
        <v>0</v>
      </c>
      <c r="F13" s="339">
        <v>0</v>
      </c>
      <c r="G13" s="339">
        <v>0</v>
      </c>
      <c r="H13" s="339">
        <v>0</v>
      </c>
      <c r="I13" s="339">
        <v>0</v>
      </c>
      <c r="J13" s="339">
        <v>0</v>
      </c>
      <c r="K13" s="339">
        <v>0</v>
      </c>
      <c r="L13" s="339">
        <v>0</v>
      </c>
      <c r="M13" s="339">
        <v>0</v>
      </c>
      <c r="N13" s="313"/>
    </row>
    <row r="14" spans="1:14" ht="15" x14ac:dyDescent="0.2">
      <c r="A14" s="218">
        <v>4</v>
      </c>
      <c r="B14" s="225" t="s">
        <v>395</v>
      </c>
      <c r="C14" s="339">
        <v>0</v>
      </c>
      <c r="D14" s="339">
        <v>0</v>
      </c>
      <c r="E14" s="339">
        <v>0</v>
      </c>
      <c r="F14" s="339">
        <v>0</v>
      </c>
      <c r="G14" s="339">
        <v>0</v>
      </c>
      <c r="H14" s="339">
        <v>0</v>
      </c>
      <c r="I14" s="339">
        <v>0</v>
      </c>
      <c r="J14" s="339">
        <v>0</v>
      </c>
      <c r="K14" s="339">
        <v>0</v>
      </c>
      <c r="L14" s="339">
        <v>0</v>
      </c>
      <c r="M14" s="339">
        <v>0</v>
      </c>
      <c r="N14" s="313"/>
    </row>
    <row r="15" spans="1:14" ht="15" x14ac:dyDescent="0.2">
      <c r="A15" s="218">
        <v>5</v>
      </c>
      <c r="B15" s="227" t="s">
        <v>396</v>
      </c>
      <c r="C15" s="339">
        <v>0</v>
      </c>
      <c r="D15" s="339">
        <v>0</v>
      </c>
      <c r="E15" s="339">
        <v>0</v>
      </c>
      <c r="F15" s="339">
        <v>0</v>
      </c>
      <c r="G15" s="339">
        <v>0</v>
      </c>
      <c r="H15" s="339">
        <v>0</v>
      </c>
      <c r="I15" s="339">
        <v>0</v>
      </c>
      <c r="J15" s="339">
        <v>0</v>
      </c>
      <c r="K15" s="339">
        <v>0</v>
      </c>
      <c r="L15" s="339">
        <v>0</v>
      </c>
      <c r="M15" s="339">
        <v>0</v>
      </c>
      <c r="N15" s="6"/>
    </row>
    <row r="16" spans="1:14" ht="15" x14ac:dyDescent="0.2">
      <c r="A16" s="218">
        <v>6</v>
      </c>
      <c r="B16" s="225" t="s">
        <v>397</v>
      </c>
      <c r="C16" s="339">
        <v>0</v>
      </c>
      <c r="D16" s="339">
        <v>0</v>
      </c>
      <c r="E16" s="339">
        <v>0</v>
      </c>
      <c r="F16" s="339">
        <v>0</v>
      </c>
      <c r="G16" s="339">
        <v>0</v>
      </c>
      <c r="H16" s="339">
        <v>0</v>
      </c>
      <c r="I16" s="339">
        <v>0</v>
      </c>
      <c r="J16" s="339">
        <v>0</v>
      </c>
      <c r="K16" s="339">
        <v>0</v>
      </c>
      <c r="L16" s="339">
        <v>0</v>
      </c>
      <c r="M16" s="339">
        <v>0</v>
      </c>
      <c r="N16" s="6"/>
    </row>
    <row r="17" spans="1:14" ht="15" x14ac:dyDescent="0.2">
      <c r="A17" s="218">
        <v>7</v>
      </c>
      <c r="B17" s="227" t="s">
        <v>398</v>
      </c>
      <c r="C17" s="339">
        <v>0</v>
      </c>
      <c r="D17" s="339">
        <v>0</v>
      </c>
      <c r="E17" s="339">
        <v>0</v>
      </c>
      <c r="F17" s="339">
        <v>0</v>
      </c>
      <c r="G17" s="339">
        <v>0</v>
      </c>
      <c r="H17" s="339">
        <v>0</v>
      </c>
      <c r="I17" s="339">
        <v>0</v>
      </c>
      <c r="J17" s="339">
        <v>0</v>
      </c>
      <c r="K17" s="339">
        <v>0</v>
      </c>
      <c r="L17" s="339">
        <v>0</v>
      </c>
      <c r="M17" s="339">
        <v>0</v>
      </c>
      <c r="N17" s="6"/>
    </row>
    <row r="18" spans="1:14" ht="15" x14ac:dyDescent="0.2">
      <c r="A18" s="218">
        <v>8</v>
      </c>
      <c r="B18" s="225" t="s">
        <v>399</v>
      </c>
      <c r="C18" s="339">
        <v>0</v>
      </c>
      <c r="D18" s="339">
        <v>0</v>
      </c>
      <c r="E18" s="339">
        <v>0</v>
      </c>
      <c r="F18" s="339">
        <v>0</v>
      </c>
      <c r="G18" s="339">
        <v>0</v>
      </c>
      <c r="H18" s="339">
        <v>0</v>
      </c>
      <c r="I18" s="339">
        <v>0</v>
      </c>
      <c r="J18" s="339">
        <v>0</v>
      </c>
      <c r="K18" s="339">
        <v>0</v>
      </c>
      <c r="L18" s="339">
        <v>0</v>
      </c>
      <c r="M18" s="339">
        <v>0</v>
      </c>
      <c r="N18" s="6"/>
    </row>
    <row r="19" spans="1:14" ht="15" x14ac:dyDescent="0.2">
      <c r="A19" s="218">
        <v>9</v>
      </c>
      <c r="B19" s="225" t="s">
        <v>400</v>
      </c>
      <c r="C19" s="339">
        <v>0</v>
      </c>
      <c r="D19" s="339">
        <v>0</v>
      </c>
      <c r="E19" s="339">
        <v>0</v>
      </c>
      <c r="F19" s="339">
        <v>0</v>
      </c>
      <c r="G19" s="339">
        <v>0</v>
      </c>
      <c r="H19" s="339">
        <v>0</v>
      </c>
      <c r="I19" s="339">
        <v>0</v>
      </c>
      <c r="J19" s="339">
        <v>0</v>
      </c>
      <c r="K19" s="339">
        <v>0</v>
      </c>
      <c r="L19" s="339">
        <v>0</v>
      </c>
      <c r="M19" s="339">
        <v>0</v>
      </c>
      <c r="N19" s="6"/>
    </row>
    <row r="20" spans="1:14" ht="15" x14ac:dyDescent="0.2">
      <c r="A20" s="218">
        <v>10</v>
      </c>
      <c r="B20" s="225" t="s">
        <v>401</v>
      </c>
      <c r="C20" s="339">
        <v>0</v>
      </c>
      <c r="D20" s="339">
        <v>0</v>
      </c>
      <c r="E20" s="339">
        <v>0</v>
      </c>
      <c r="F20" s="339">
        <v>0</v>
      </c>
      <c r="G20" s="339">
        <v>0</v>
      </c>
      <c r="H20" s="339">
        <v>0</v>
      </c>
      <c r="I20" s="339">
        <v>0</v>
      </c>
      <c r="J20" s="339">
        <v>0</v>
      </c>
      <c r="K20" s="339">
        <v>0</v>
      </c>
      <c r="L20" s="339">
        <v>0</v>
      </c>
      <c r="M20" s="339">
        <v>0</v>
      </c>
      <c r="N20" s="6"/>
    </row>
    <row r="21" spans="1:14" ht="15" x14ac:dyDescent="0.2">
      <c r="A21" s="218">
        <v>11</v>
      </c>
      <c r="B21" s="225" t="s">
        <v>402</v>
      </c>
      <c r="C21" s="339">
        <v>0</v>
      </c>
      <c r="D21" s="339">
        <v>0</v>
      </c>
      <c r="E21" s="339">
        <v>0</v>
      </c>
      <c r="F21" s="339">
        <v>0</v>
      </c>
      <c r="G21" s="339">
        <v>0</v>
      </c>
      <c r="H21" s="339">
        <v>0</v>
      </c>
      <c r="I21" s="339">
        <v>0</v>
      </c>
      <c r="J21" s="339">
        <v>0</v>
      </c>
      <c r="K21" s="339">
        <v>0</v>
      </c>
      <c r="L21" s="339">
        <v>0</v>
      </c>
      <c r="M21" s="339">
        <v>0</v>
      </c>
      <c r="N21" s="6"/>
    </row>
    <row r="22" spans="1:14" ht="15" x14ac:dyDescent="0.2">
      <c r="A22" s="218">
        <v>12</v>
      </c>
      <c r="B22" s="225" t="s">
        <v>403</v>
      </c>
      <c r="C22" s="339">
        <v>0</v>
      </c>
      <c r="D22" s="339">
        <v>0</v>
      </c>
      <c r="E22" s="339">
        <v>0</v>
      </c>
      <c r="F22" s="339">
        <v>0</v>
      </c>
      <c r="G22" s="339">
        <v>0</v>
      </c>
      <c r="H22" s="339">
        <v>0</v>
      </c>
      <c r="I22" s="339">
        <v>0</v>
      </c>
      <c r="J22" s="339">
        <v>0</v>
      </c>
      <c r="K22" s="339">
        <v>0</v>
      </c>
      <c r="L22" s="339">
        <v>0</v>
      </c>
      <c r="M22" s="339">
        <v>0</v>
      </c>
      <c r="N22" s="6"/>
    </row>
    <row r="23" spans="1:14" ht="15" x14ac:dyDescent="0.2">
      <c r="A23" s="218">
        <v>13</v>
      </c>
      <c r="B23" s="225" t="s">
        <v>404</v>
      </c>
      <c r="C23" s="339">
        <v>0</v>
      </c>
      <c r="D23" s="339">
        <v>0</v>
      </c>
      <c r="E23" s="339">
        <v>0</v>
      </c>
      <c r="F23" s="339">
        <v>0</v>
      </c>
      <c r="G23" s="339">
        <v>0</v>
      </c>
      <c r="H23" s="339">
        <v>0</v>
      </c>
      <c r="I23" s="339">
        <v>0</v>
      </c>
      <c r="J23" s="339">
        <v>0</v>
      </c>
      <c r="K23" s="339">
        <v>0</v>
      </c>
      <c r="L23" s="339">
        <v>0</v>
      </c>
      <c r="M23" s="339">
        <v>0</v>
      </c>
      <c r="N23" s="6"/>
    </row>
    <row r="24" spans="1:14" s="11" customFormat="1" x14ac:dyDescent="0.2">
      <c r="A24" s="194" t="s">
        <v>18</v>
      </c>
      <c r="B24" s="232"/>
      <c r="C24" s="340">
        <v>0</v>
      </c>
      <c r="D24" s="340">
        <v>0</v>
      </c>
      <c r="E24" s="340">
        <v>0</v>
      </c>
      <c r="F24" s="340">
        <v>0</v>
      </c>
      <c r="G24" s="340">
        <v>0</v>
      </c>
      <c r="H24" s="340">
        <v>0</v>
      </c>
      <c r="I24" s="340">
        <v>0</v>
      </c>
      <c r="J24" s="340">
        <v>0</v>
      </c>
      <c r="K24" s="340">
        <v>0</v>
      </c>
      <c r="L24" s="340">
        <v>0</v>
      </c>
      <c r="M24" s="340">
        <v>0</v>
      </c>
      <c r="N24" s="19"/>
    </row>
    <row r="27" spans="1:14" x14ac:dyDescent="0.2">
      <c r="A27" s="116"/>
      <c r="B27" s="116"/>
      <c r="C27" s="116"/>
      <c r="D27" s="116"/>
      <c r="I27" s="117"/>
      <c r="J27" s="1187" t="s">
        <v>12</v>
      </c>
      <c r="K27" s="1187"/>
      <c r="L27" s="117"/>
      <c r="M27" s="117"/>
    </row>
    <row r="28" spans="1:14" x14ac:dyDescent="0.2">
      <c r="A28" s="116"/>
      <c r="B28" s="116"/>
      <c r="C28" s="116"/>
      <c r="D28" s="116"/>
      <c r="G28" s="1187" t="s">
        <v>13</v>
      </c>
      <c r="H28" s="1187"/>
      <c r="I28" s="1187"/>
      <c r="J28" s="1187"/>
      <c r="K28" s="1187"/>
      <c r="L28" s="1187"/>
      <c r="M28" s="1187"/>
      <c r="N28" s="1187"/>
    </row>
    <row r="29" spans="1:14" x14ac:dyDescent="0.2">
      <c r="A29" s="116"/>
      <c r="B29" s="116"/>
      <c r="C29" s="116"/>
      <c r="D29" s="116"/>
      <c r="G29" s="1187" t="s">
        <v>88</v>
      </c>
      <c r="H29" s="1187"/>
      <c r="I29" s="1187"/>
      <c r="J29" s="1187"/>
      <c r="K29" s="1187"/>
      <c r="L29" s="1187"/>
      <c r="M29" s="1187"/>
      <c r="N29" s="1187"/>
    </row>
    <row r="30" spans="1:14" x14ac:dyDescent="0.2">
      <c r="A30" s="116" t="s">
        <v>11</v>
      </c>
      <c r="C30" s="116"/>
      <c r="D30" s="116"/>
      <c r="G30" s="1222" t="s">
        <v>85</v>
      </c>
      <c r="H30" s="1222"/>
      <c r="I30" s="118"/>
      <c r="J30" s="118"/>
      <c r="K30" s="118"/>
      <c r="L30" s="118"/>
      <c r="M30" s="118"/>
    </row>
  </sheetData>
  <mergeCells count="15">
    <mergeCell ref="H1:N1"/>
    <mergeCell ref="A4:N4"/>
    <mergeCell ref="A5:G5"/>
    <mergeCell ref="H5:N5"/>
    <mergeCell ref="A2:N2"/>
    <mergeCell ref="G30:H30"/>
    <mergeCell ref="A3:N3"/>
    <mergeCell ref="J27:K27"/>
    <mergeCell ref="G28:N28"/>
    <mergeCell ref="A6:A9"/>
    <mergeCell ref="B6:B9"/>
    <mergeCell ref="C6:G8"/>
    <mergeCell ref="H6:M8"/>
    <mergeCell ref="N6:N9"/>
    <mergeCell ref="G29:N29"/>
  </mergeCells>
  <printOptions horizontalCentered="1"/>
  <pageMargins left="0.41" right="0.32" top="0.47" bottom="0.32" header="0.3" footer="0.22"/>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C00000"/>
    <pageSetUpPr fitToPage="1"/>
  </sheetPr>
  <dimension ref="A1:K47"/>
  <sheetViews>
    <sheetView view="pageBreakPreview" topLeftCell="A22" zoomScale="90" zoomScaleSheetLayoutView="90" workbookViewId="0">
      <selection activeCell="I43" sqref="I43"/>
    </sheetView>
  </sheetViews>
  <sheetFormatPr defaultRowHeight="12.75" x14ac:dyDescent="0.2"/>
  <cols>
    <col min="1" max="1" width="36" customWidth="1"/>
    <col min="2" max="2" width="37.85546875" customWidth="1"/>
    <col min="3" max="3" width="18.28515625" customWidth="1"/>
    <col min="4" max="4" width="28" customWidth="1"/>
    <col min="5" max="5" width="22.5703125" bestFit="1" customWidth="1"/>
    <col min="6" max="6" width="25.85546875" bestFit="1" customWidth="1"/>
  </cols>
  <sheetData>
    <row r="1" spans="1:11" x14ac:dyDescent="0.2">
      <c r="F1" s="133" t="s">
        <v>694</v>
      </c>
    </row>
    <row r="2" spans="1:11" ht="18" x14ac:dyDescent="0.35">
      <c r="A2" s="1201" t="s">
        <v>0</v>
      </c>
      <c r="B2" s="1201"/>
      <c r="C2" s="1201"/>
      <c r="D2" s="1201"/>
      <c r="E2" s="1201"/>
      <c r="F2" s="1201"/>
      <c r="G2" s="129"/>
      <c r="H2" s="129"/>
      <c r="I2" s="129"/>
      <c r="J2" s="129"/>
      <c r="K2" s="129"/>
    </row>
    <row r="3" spans="1:11" ht="21" x14ac:dyDescent="0.35">
      <c r="A3" s="1201" t="s">
        <v>794</v>
      </c>
      <c r="B3" s="1201"/>
      <c r="C3" s="1201"/>
      <c r="D3" s="1201"/>
      <c r="E3" s="1201"/>
      <c r="F3" s="1201"/>
      <c r="G3" s="130"/>
      <c r="H3" s="130"/>
      <c r="I3" s="130"/>
      <c r="J3" s="130"/>
      <c r="K3" s="130"/>
    </row>
    <row r="4" spans="1:11" x14ac:dyDescent="0.2">
      <c r="A4" s="94"/>
      <c r="B4" s="94"/>
      <c r="C4" s="94"/>
      <c r="D4" s="94"/>
      <c r="E4" s="94"/>
      <c r="F4" s="94"/>
    </row>
    <row r="5" spans="1:11" ht="21" x14ac:dyDescent="0.2">
      <c r="A5" s="1375" t="s">
        <v>695</v>
      </c>
      <c r="B5" s="1375"/>
      <c r="C5" s="1375"/>
      <c r="D5" s="1375"/>
      <c r="E5" s="1375"/>
      <c r="F5" s="1375"/>
    </row>
    <row r="6" spans="1:11" ht="18.75" x14ac:dyDescent="0.2">
      <c r="A6" s="1000" t="s">
        <v>463</v>
      </c>
      <c r="B6" s="1000"/>
      <c r="C6" s="1000"/>
      <c r="D6" s="134"/>
      <c r="E6" s="134"/>
      <c r="F6" s="134"/>
    </row>
    <row r="7" spans="1:11" ht="31.5" x14ac:dyDescent="0.25">
      <c r="A7" s="285"/>
      <c r="B7" s="285" t="s">
        <v>591</v>
      </c>
      <c r="C7" s="285" t="s">
        <v>467</v>
      </c>
      <c r="D7" s="285" t="s">
        <v>355</v>
      </c>
      <c r="E7" s="135"/>
      <c r="F7" s="135"/>
    </row>
    <row r="8" spans="1:11" ht="25.5" x14ac:dyDescent="0.25">
      <c r="A8" s="138" t="s">
        <v>356</v>
      </c>
      <c r="B8" s="230" t="s">
        <v>456</v>
      </c>
      <c r="C8" s="230" t="s">
        <v>457</v>
      </c>
      <c r="D8" s="230" t="s">
        <v>457</v>
      </c>
      <c r="E8" s="135"/>
      <c r="F8" s="135"/>
    </row>
    <row r="9" spans="1:11" ht="39.75" customHeight="1" x14ac:dyDescent="0.25">
      <c r="A9" s="138" t="s">
        <v>357</v>
      </c>
      <c r="B9" s="230" t="s">
        <v>458</v>
      </c>
      <c r="C9" s="230" t="s">
        <v>592</v>
      </c>
      <c r="D9" s="230" t="s">
        <v>459</v>
      </c>
      <c r="E9" s="135"/>
      <c r="F9" s="135"/>
    </row>
    <row r="10" spans="1:11" ht="13.5" customHeight="1" x14ac:dyDescent="0.25">
      <c r="A10" s="1377" t="s">
        <v>358</v>
      </c>
      <c r="B10" s="1378"/>
      <c r="C10" s="1378"/>
      <c r="D10" s="1379"/>
      <c r="E10" s="135"/>
      <c r="F10" s="135"/>
    </row>
    <row r="11" spans="1:11" ht="13.5" customHeight="1" x14ac:dyDescent="0.25">
      <c r="A11" s="138" t="s">
        <v>359</v>
      </c>
      <c r="B11" s="230">
        <v>18001804132</v>
      </c>
      <c r="C11" s="230" t="s">
        <v>460</v>
      </c>
      <c r="D11" s="230" t="s">
        <v>460</v>
      </c>
      <c r="E11" s="135"/>
      <c r="F11" s="135"/>
    </row>
    <row r="12" spans="1:11" ht="13.5" customHeight="1" x14ac:dyDescent="0.25">
      <c r="A12" s="138" t="s">
        <v>360</v>
      </c>
      <c r="B12" s="230" t="s">
        <v>460</v>
      </c>
      <c r="C12" s="230" t="s">
        <v>460</v>
      </c>
      <c r="D12" s="230" t="s">
        <v>460</v>
      </c>
      <c r="E12" s="135"/>
      <c r="F12" s="135"/>
    </row>
    <row r="13" spans="1:11" ht="13.5" customHeight="1" x14ac:dyDescent="0.25">
      <c r="A13" s="138" t="s">
        <v>361</v>
      </c>
      <c r="B13" s="230" t="s">
        <v>460</v>
      </c>
      <c r="C13" s="230" t="s">
        <v>460</v>
      </c>
      <c r="D13" s="230" t="s">
        <v>460</v>
      </c>
      <c r="E13" s="135"/>
      <c r="F13" s="135"/>
    </row>
    <row r="14" spans="1:11" ht="32.25" customHeight="1" x14ac:dyDescent="0.25">
      <c r="A14" s="138" t="s">
        <v>362</v>
      </c>
      <c r="B14" s="432" t="s">
        <v>877</v>
      </c>
      <c r="C14" s="230" t="s">
        <v>460</v>
      </c>
      <c r="D14" s="230" t="s">
        <v>460</v>
      </c>
      <c r="E14" s="135"/>
      <c r="F14" s="135"/>
    </row>
    <row r="15" spans="1:11" ht="13.5" customHeight="1" x14ac:dyDescent="0.25">
      <c r="A15" s="138" t="s">
        <v>363</v>
      </c>
      <c r="B15" s="230" t="s">
        <v>461</v>
      </c>
      <c r="C15" s="230" t="s">
        <v>460</v>
      </c>
      <c r="D15" s="230" t="s">
        <v>460</v>
      </c>
      <c r="E15" s="135"/>
      <c r="F15" s="135"/>
    </row>
    <row r="16" spans="1:11" ht="13.5" customHeight="1" x14ac:dyDescent="0.25">
      <c r="A16" s="138" t="s">
        <v>364</v>
      </c>
      <c r="B16" s="230" t="s">
        <v>460</v>
      </c>
      <c r="C16" s="230" t="s">
        <v>460</v>
      </c>
      <c r="D16" s="230" t="s">
        <v>460</v>
      </c>
      <c r="E16" s="135"/>
      <c r="F16" s="135"/>
    </row>
    <row r="17" spans="1:6" ht="13.5" customHeight="1" x14ac:dyDescent="0.25">
      <c r="A17" s="138" t="s">
        <v>365</v>
      </c>
      <c r="B17" s="230" t="s">
        <v>460</v>
      </c>
      <c r="C17" s="230" t="s">
        <v>460</v>
      </c>
      <c r="D17" s="230" t="s">
        <v>460</v>
      </c>
      <c r="E17" s="135"/>
      <c r="F17" s="135"/>
    </row>
    <row r="18" spans="1:6" ht="13.5" customHeight="1" x14ac:dyDescent="0.25">
      <c r="A18" s="138" t="s">
        <v>366</v>
      </c>
      <c r="B18" s="230" t="s">
        <v>462</v>
      </c>
      <c r="C18" s="230" t="s">
        <v>462</v>
      </c>
      <c r="D18" s="230" t="s">
        <v>462</v>
      </c>
      <c r="E18" s="135"/>
      <c r="F18" s="135"/>
    </row>
    <row r="19" spans="1:6" ht="13.5" customHeight="1" x14ac:dyDescent="0.25">
      <c r="A19" s="136"/>
      <c r="B19" s="137"/>
      <c r="C19" s="137"/>
      <c r="D19" s="137"/>
      <c r="E19" s="135"/>
      <c r="F19" s="135"/>
    </row>
    <row r="20" spans="1:6" ht="13.5" customHeight="1" x14ac:dyDescent="0.2">
      <c r="A20" s="1376" t="s">
        <v>367</v>
      </c>
      <c r="B20" s="1376"/>
      <c r="C20" s="1376"/>
      <c r="D20" s="1376"/>
      <c r="E20" s="1376"/>
      <c r="F20" s="1376"/>
    </row>
    <row r="21" spans="1:6" ht="15" x14ac:dyDescent="0.25">
      <c r="A21" s="135"/>
      <c r="B21" s="135"/>
      <c r="C21" s="135"/>
      <c r="D21" s="135"/>
      <c r="E21" s="1188" t="s">
        <v>927</v>
      </c>
      <c r="F21" s="1188"/>
    </row>
    <row r="22" spans="1:6" ht="36.75" customHeight="1" x14ac:dyDescent="0.2">
      <c r="A22" s="243" t="s">
        <v>368</v>
      </c>
      <c r="B22" s="243" t="s">
        <v>3</v>
      </c>
      <c r="C22" s="243" t="s">
        <v>369</v>
      </c>
      <c r="D22" s="286" t="s">
        <v>370</v>
      </c>
      <c r="E22" s="243" t="s">
        <v>371</v>
      </c>
      <c r="F22" s="243" t="s">
        <v>372</v>
      </c>
    </row>
    <row r="23" spans="1:6" ht="38.25" customHeight="1" x14ac:dyDescent="0.2">
      <c r="A23" s="138" t="s">
        <v>373</v>
      </c>
      <c r="B23" s="138" t="s">
        <v>976</v>
      </c>
      <c r="C23" s="138">
        <v>3</v>
      </c>
      <c r="D23" s="780">
        <v>2017</v>
      </c>
      <c r="E23" s="138" t="s">
        <v>873</v>
      </c>
      <c r="F23" s="431" t="s">
        <v>874</v>
      </c>
    </row>
    <row r="24" spans="1:6" x14ac:dyDescent="0.2">
      <c r="A24" s="138" t="s">
        <v>374</v>
      </c>
    </row>
    <row r="25" spans="1:6" ht="15" x14ac:dyDescent="0.2">
      <c r="A25" s="138" t="s">
        <v>375</v>
      </c>
      <c r="B25" s="138" t="s">
        <v>875</v>
      </c>
      <c r="C25" s="138">
        <v>3</v>
      </c>
      <c r="D25" s="780">
        <v>2017</v>
      </c>
      <c r="E25" s="433" t="s">
        <v>876</v>
      </c>
      <c r="F25" s="431" t="s">
        <v>977</v>
      </c>
    </row>
    <row r="26" spans="1:6" ht="25.5" x14ac:dyDescent="0.2">
      <c r="A26" s="138" t="s">
        <v>376</v>
      </c>
      <c r="B26" s="230"/>
      <c r="C26" s="778"/>
      <c r="D26" s="235"/>
      <c r="E26" s="225"/>
      <c r="F26" s="225"/>
    </row>
    <row r="27" spans="1:6" ht="27" customHeight="1" x14ac:dyDescent="0.2">
      <c r="A27" s="138" t="s">
        <v>377</v>
      </c>
      <c r="B27" s="230"/>
      <c r="C27" s="778"/>
      <c r="D27" s="234"/>
      <c r="E27" s="225"/>
      <c r="F27" s="225"/>
    </row>
    <row r="28" spans="1:6" ht="19.5" customHeight="1" x14ac:dyDescent="0.2">
      <c r="A28" s="138" t="s">
        <v>378</v>
      </c>
      <c r="B28" s="230"/>
      <c r="C28" s="778"/>
      <c r="D28" s="234"/>
      <c r="E28" s="225"/>
      <c r="F28" s="225"/>
    </row>
    <row r="29" spans="1:6" ht="19.5" customHeight="1" x14ac:dyDescent="0.2">
      <c r="A29" s="138" t="s">
        <v>379</v>
      </c>
      <c r="B29" s="138" t="s">
        <v>978</v>
      </c>
      <c r="C29" s="138">
        <v>3</v>
      </c>
      <c r="D29" s="780">
        <v>2017</v>
      </c>
      <c r="E29" s="433" t="s">
        <v>979</v>
      </c>
      <c r="F29" s="431" t="s">
        <v>977</v>
      </c>
    </row>
    <row r="30" spans="1:6" ht="19.5" customHeight="1" x14ac:dyDescent="0.2">
      <c r="A30" s="138" t="s">
        <v>380</v>
      </c>
      <c r="B30" s="138"/>
      <c r="C30" s="138"/>
      <c r="D30" s="780"/>
      <c r="E30" s="138"/>
      <c r="F30" s="431"/>
    </row>
    <row r="31" spans="1:6" ht="19.5" customHeight="1" x14ac:dyDescent="0.2">
      <c r="A31" s="138" t="s">
        <v>381</v>
      </c>
      <c r="B31" s="230"/>
      <c r="C31" s="230"/>
      <c r="D31" s="234"/>
      <c r="E31" s="225"/>
      <c r="F31" s="225"/>
    </row>
    <row r="32" spans="1:6" ht="19.5" customHeight="1" x14ac:dyDescent="0.2">
      <c r="A32" s="138" t="s">
        <v>382</v>
      </c>
      <c r="B32" s="230"/>
      <c r="C32" s="230"/>
      <c r="D32" s="234"/>
      <c r="E32" s="225"/>
      <c r="F32" s="225"/>
    </row>
    <row r="33" spans="1:6" ht="19.5" customHeight="1" x14ac:dyDescent="0.2">
      <c r="A33" s="138" t="s">
        <v>383</v>
      </c>
      <c r="B33" s="230"/>
      <c r="C33" s="230"/>
      <c r="D33" s="234"/>
      <c r="E33" s="225"/>
      <c r="F33" s="225"/>
    </row>
    <row r="34" spans="1:6" ht="19.5" customHeight="1" x14ac:dyDescent="0.2">
      <c r="A34" s="138" t="s">
        <v>384</v>
      </c>
      <c r="B34" s="230"/>
      <c r="C34" s="230"/>
      <c r="D34" s="234"/>
      <c r="E34" s="225"/>
      <c r="F34" s="225"/>
    </row>
    <row r="35" spans="1:6" ht="19.5" customHeight="1" x14ac:dyDescent="0.2">
      <c r="A35" s="138" t="s">
        <v>385</v>
      </c>
      <c r="B35" s="230"/>
      <c r="C35" s="230"/>
      <c r="D35" s="234"/>
      <c r="E35" s="225"/>
      <c r="F35" s="225"/>
    </row>
    <row r="36" spans="1:6" ht="19.5" customHeight="1" x14ac:dyDescent="0.2">
      <c r="A36" s="138" t="s">
        <v>386</v>
      </c>
      <c r="B36" s="138"/>
      <c r="C36" s="138"/>
      <c r="D36" s="780"/>
      <c r="E36" s="138"/>
      <c r="F36" s="431"/>
    </row>
    <row r="37" spans="1:6" ht="19.5" customHeight="1" x14ac:dyDescent="0.2">
      <c r="A37" s="138" t="s">
        <v>387</v>
      </c>
      <c r="B37" s="138"/>
      <c r="C37" s="138"/>
      <c r="D37" s="780"/>
      <c r="E37" s="433"/>
      <c r="F37" s="798"/>
    </row>
    <row r="38" spans="1:6" ht="19.5" customHeight="1" x14ac:dyDescent="0.2">
      <c r="A38" s="138" t="s">
        <v>388</v>
      </c>
      <c r="B38" s="138"/>
      <c r="C38" s="218"/>
      <c r="D38" s="218"/>
      <c r="E38" s="218"/>
      <c r="F38" s="218"/>
    </row>
    <row r="39" spans="1:6" ht="19.5" customHeight="1" x14ac:dyDescent="0.2">
      <c r="A39" s="138" t="s">
        <v>48</v>
      </c>
      <c r="B39" s="138" t="s">
        <v>980</v>
      </c>
      <c r="C39" s="138">
        <v>2</v>
      </c>
      <c r="D39" s="780">
        <v>2017</v>
      </c>
      <c r="E39" s="138" t="s">
        <v>873</v>
      </c>
      <c r="F39" s="431" t="s">
        <v>874</v>
      </c>
    </row>
    <row r="40" spans="1:6" ht="19.5" customHeight="1" x14ac:dyDescent="0.2">
      <c r="A40" s="138" t="s">
        <v>18</v>
      </c>
      <c r="B40" s="230"/>
      <c r="C40" s="230">
        <v>11</v>
      </c>
      <c r="D40" s="234"/>
      <c r="E40" s="225">
        <v>7</v>
      </c>
      <c r="F40" s="225" t="s">
        <v>981</v>
      </c>
    </row>
    <row r="44" spans="1:6" ht="15" customHeight="1" x14ac:dyDescent="0.2">
      <c r="A44" s="116"/>
      <c r="B44" s="116"/>
      <c r="C44" s="116"/>
      <c r="D44" s="1187" t="s">
        <v>12</v>
      </c>
      <c r="E44" s="1187"/>
      <c r="F44" s="126"/>
    </row>
    <row r="45" spans="1:6" ht="15" customHeight="1" x14ac:dyDescent="0.2">
      <c r="A45" s="116"/>
      <c r="B45" s="116"/>
      <c r="C45" s="116"/>
      <c r="D45" s="1187" t="s">
        <v>13</v>
      </c>
      <c r="E45" s="1187"/>
      <c r="F45" s="117"/>
    </row>
    <row r="46" spans="1:6" ht="15" customHeight="1" x14ac:dyDescent="0.2">
      <c r="A46" s="116"/>
      <c r="B46" s="116"/>
      <c r="C46" s="116"/>
      <c r="D46" s="1187" t="s">
        <v>88</v>
      </c>
      <c r="E46" s="1187"/>
      <c r="F46" s="117"/>
    </row>
    <row r="47" spans="1:6" x14ac:dyDescent="0.2">
      <c r="A47" s="116" t="s">
        <v>11</v>
      </c>
      <c r="C47" s="116"/>
      <c r="D47" s="118" t="s">
        <v>85</v>
      </c>
      <c r="E47" s="118"/>
      <c r="F47" s="118"/>
    </row>
  </sheetData>
  <mergeCells count="10">
    <mergeCell ref="A2:F2"/>
    <mergeCell ref="D45:E45"/>
    <mergeCell ref="D46:E46"/>
    <mergeCell ref="A3:F3"/>
    <mergeCell ref="A5:F5"/>
    <mergeCell ref="A20:F20"/>
    <mergeCell ref="E21:F21"/>
    <mergeCell ref="D44:E44"/>
    <mergeCell ref="A10:D10"/>
    <mergeCell ref="A6:C6"/>
  </mergeCells>
  <hyperlinks>
    <hyperlink ref="B14" r:id="rId1" display="mdmcell.uttarakhand@gmail.com"/>
  </hyperlinks>
  <printOptions horizontalCentered="1"/>
  <pageMargins left="0.70866141732283472" right="0.70866141732283472" top="0.15" bottom="0" header="0.31496062992125984" footer="0.31496062992125984"/>
  <pageSetup paperSize="9" scale="66" orientation="landscape"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J23"/>
  <sheetViews>
    <sheetView view="pageBreakPreview" topLeftCell="A13" zoomScale="98" zoomScaleSheetLayoutView="98" workbookViewId="0">
      <selection activeCell="N16" sqref="N16"/>
    </sheetView>
  </sheetViews>
  <sheetFormatPr defaultRowHeight="12.75" x14ac:dyDescent="0.2"/>
  <sheetData>
    <row r="2" spans="2:10" x14ac:dyDescent="0.2">
      <c r="B2" s="11"/>
    </row>
    <row r="4" spans="2:10" ht="12.75" customHeight="1" x14ac:dyDescent="0.2"/>
    <row r="5" spans="2:10" ht="12.75" customHeight="1" x14ac:dyDescent="0.2"/>
    <row r="6" spans="2:10" ht="12.75" customHeight="1" x14ac:dyDescent="0.2"/>
    <row r="7" spans="2:10" ht="12.75" customHeight="1" x14ac:dyDescent="0.2"/>
    <row r="8" spans="2:10" ht="12.75" customHeight="1" x14ac:dyDescent="0.2"/>
    <row r="9" spans="2:10" ht="12.75" customHeight="1" x14ac:dyDescent="0.2"/>
    <row r="10" spans="2:10" ht="12.75" customHeight="1" x14ac:dyDescent="0.2"/>
    <row r="11" spans="2:10" ht="12.75" customHeight="1" x14ac:dyDescent="0.2"/>
    <row r="12" spans="2:10" ht="12.75" customHeight="1" x14ac:dyDescent="0.2"/>
    <row r="13" spans="2:10" ht="12.75" customHeight="1" x14ac:dyDescent="0.2"/>
    <row r="14" spans="2:10" x14ac:dyDescent="0.2">
      <c r="D14" s="1380" t="s">
        <v>836</v>
      </c>
      <c r="E14" s="1380"/>
      <c r="F14" s="1380"/>
      <c r="G14" s="1380"/>
      <c r="H14" s="1380"/>
      <c r="I14" s="1380"/>
      <c r="J14" s="1380"/>
    </row>
    <row r="15" spans="2:10" x14ac:dyDescent="0.2">
      <c r="D15" s="1380"/>
      <c r="E15" s="1380"/>
      <c r="F15" s="1380"/>
      <c r="G15" s="1380"/>
      <c r="H15" s="1380"/>
      <c r="I15" s="1380"/>
      <c r="J15" s="1380"/>
    </row>
    <row r="16" spans="2:10" x14ac:dyDescent="0.2">
      <c r="D16" s="1380"/>
      <c r="E16" s="1380"/>
      <c r="F16" s="1380"/>
      <c r="G16" s="1380"/>
      <c r="H16" s="1380"/>
      <c r="I16" s="1380"/>
      <c r="J16" s="1380"/>
    </row>
    <row r="17" spans="4:10" x14ac:dyDescent="0.2">
      <c r="D17" s="1380"/>
      <c r="E17" s="1380"/>
      <c r="F17" s="1380"/>
      <c r="G17" s="1380"/>
      <c r="H17" s="1380"/>
      <c r="I17" s="1380"/>
      <c r="J17" s="1380"/>
    </row>
    <row r="18" spans="4:10" x14ac:dyDescent="0.2">
      <c r="D18" s="1380"/>
      <c r="E18" s="1380"/>
      <c r="F18" s="1380"/>
      <c r="G18" s="1380"/>
      <c r="H18" s="1380"/>
      <c r="I18" s="1380"/>
      <c r="J18" s="1380"/>
    </row>
    <row r="19" spans="4:10" x14ac:dyDescent="0.2">
      <c r="D19" s="1380"/>
      <c r="E19" s="1380"/>
      <c r="F19" s="1380"/>
      <c r="G19" s="1380"/>
      <c r="H19" s="1380"/>
      <c r="I19" s="1380"/>
      <c r="J19" s="1380"/>
    </row>
    <row r="20" spans="4:10" x14ac:dyDescent="0.2">
      <c r="D20" s="1380"/>
      <c r="E20" s="1380"/>
      <c r="F20" s="1380"/>
      <c r="G20" s="1380"/>
      <c r="H20" s="1380"/>
      <c r="I20" s="1380"/>
      <c r="J20" s="1380"/>
    </row>
    <row r="21" spans="4:10" x14ac:dyDescent="0.2">
      <c r="D21" s="1380"/>
      <c r="E21" s="1380"/>
      <c r="F21" s="1380"/>
      <c r="G21" s="1380"/>
      <c r="H21" s="1380"/>
      <c r="I21" s="1380"/>
      <c r="J21" s="1380"/>
    </row>
    <row r="22" spans="4:10" x14ac:dyDescent="0.2">
      <c r="D22" s="1380"/>
      <c r="E22" s="1380"/>
      <c r="F22" s="1380"/>
      <c r="G22" s="1380"/>
      <c r="H22" s="1380"/>
      <c r="I22" s="1380"/>
      <c r="J22" s="1380"/>
    </row>
    <row r="23" spans="4:10" x14ac:dyDescent="0.2">
      <c r="D23" s="1380"/>
      <c r="E23" s="1380"/>
      <c r="F23" s="1380"/>
      <c r="G23" s="1380"/>
      <c r="H23" s="1380"/>
      <c r="I23" s="1380"/>
      <c r="J23" s="1380"/>
    </row>
  </sheetData>
  <mergeCells count="1">
    <mergeCell ref="D14:J23"/>
  </mergeCells>
  <pageMargins left="0.70866141732283472" right="0.70866141732283472" top="0.74803149606299213" bottom="0.74803149606299213" header="0.31496062992125984" footer="0.31496062992125984"/>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00000"/>
    <pageSetUpPr fitToPage="1"/>
  </sheetPr>
  <dimension ref="A1:T32"/>
  <sheetViews>
    <sheetView view="pageBreakPreview" zoomScaleSheetLayoutView="100" workbookViewId="0">
      <selection activeCell="N16" sqref="N16"/>
    </sheetView>
  </sheetViews>
  <sheetFormatPr defaultRowHeight="14.25" x14ac:dyDescent="0.2"/>
  <cols>
    <col min="1" max="1" width="4.7109375" style="38" customWidth="1"/>
    <col min="2" max="2" width="14.7109375" style="38" customWidth="1"/>
    <col min="3" max="3" width="11.7109375" style="38" customWidth="1"/>
    <col min="4" max="4" width="12" style="38" customWidth="1"/>
    <col min="5" max="5" width="12.140625" style="38" customWidth="1"/>
    <col min="6" max="6" width="17.42578125" style="38" customWidth="1"/>
    <col min="7" max="7" width="12.42578125" style="38" customWidth="1"/>
    <col min="8" max="8" width="16" style="38" customWidth="1"/>
    <col min="9" max="9" width="12.7109375" style="38" customWidth="1"/>
    <col min="10" max="10" width="15" style="38" customWidth="1"/>
    <col min="11" max="11" width="13.28515625" style="38" customWidth="1"/>
    <col min="12" max="12" width="11.85546875" style="38" customWidth="1"/>
    <col min="13" max="16384" width="9.140625" style="38"/>
  </cols>
  <sheetData>
    <row r="1" spans="1:20" ht="15" customHeight="1" x14ac:dyDescent="0.25">
      <c r="C1" s="990"/>
      <c r="D1" s="990"/>
      <c r="E1" s="990"/>
      <c r="F1" s="990"/>
      <c r="G1" s="990"/>
      <c r="H1" s="990"/>
      <c r="I1" s="97"/>
      <c r="J1" s="1161" t="s">
        <v>696</v>
      </c>
      <c r="K1" s="1161"/>
    </row>
    <row r="2" spans="1:20" s="42" customFormat="1" ht="19.5" customHeight="1" x14ac:dyDescent="0.2">
      <c r="A2" s="1382" t="s">
        <v>0</v>
      </c>
      <c r="B2" s="1382"/>
      <c r="C2" s="1382"/>
      <c r="D2" s="1382"/>
      <c r="E2" s="1382"/>
      <c r="F2" s="1382"/>
      <c r="G2" s="1382"/>
      <c r="H2" s="1382"/>
      <c r="I2" s="1382"/>
      <c r="J2" s="1382"/>
      <c r="K2" s="1382"/>
      <c r="L2" s="1382"/>
    </row>
    <row r="3" spans="1:20" s="42" customFormat="1" ht="19.5" customHeight="1" x14ac:dyDescent="0.25">
      <c r="A3" s="1056" t="s">
        <v>794</v>
      </c>
      <c r="B3" s="1056"/>
      <c r="C3" s="1056"/>
      <c r="D3" s="1056"/>
      <c r="E3" s="1056"/>
      <c r="F3" s="1056"/>
      <c r="G3" s="1056"/>
      <c r="H3" s="1056"/>
      <c r="I3" s="1056"/>
      <c r="J3" s="1056"/>
      <c r="K3" s="1056"/>
      <c r="L3" s="1056"/>
      <c r="M3" s="70"/>
      <c r="N3" s="70"/>
      <c r="O3" s="70"/>
      <c r="P3" s="70"/>
      <c r="Q3" s="70"/>
    </row>
    <row r="4" spans="1:20" s="42" customFormat="1" ht="14.25" customHeight="1" x14ac:dyDescent="0.2">
      <c r="A4" s="47"/>
      <c r="B4" s="47"/>
      <c r="C4" s="47"/>
      <c r="D4" s="47"/>
      <c r="E4" s="47"/>
      <c r="F4" s="47"/>
      <c r="G4" s="47"/>
      <c r="H4" s="47"/>
      <c r="I4" s="47"/>
      <c r="J4" s="47"/>
      <c r="K4" s="47"/>
    </row>
    <row r="5" spans="1:20" s="42" customFormat="1" ht="18" customHeight="1" x14ac:dyDescent="0.2">
      <c r="A5" s="1264" t="s">
        <v>697</v>
      </c>
      <c r="B5" s="1264"/>
      <c r="C5" s="1264"/>
      <c r="D5" s="1264"/>
      <c r="E5" s="1264"/>
      <c r="F5" s="1264"/>
      <c r="G5" s="1264"/>
      <c r="H5" s="1264"/>
      <c r="I5" s="1264"/>
      <c r="J5" s="1264"/>
      <c r="K5" s="1264"/>
      <c r="L5" s="1264"/>
    </row>
    <row r="6" spans="1:20" ht="15.75" x14ac:dyDescent="0.25">
      <c r="A6" s="1163" t="s">
        <v>463</v>
      </c>
      <c r="B6" s="1163"/>
      <c r="C6" s="1163"/>
      <c r="D6" s="70"/>
      <c r="E6" s="70"/>
      <c r="F6" s="70"/>
      <c r="G6" s="70"/>
      <c r="H6" s="70"/>
      <c r="I6" s="70"/>
      <c r="J6" s="70"/>
      <c r="K6" s="70"/>
    </row>
    <row r="7" spans="1:20" ht="9" customHeight="1" x14ac:dyDescent="0.25">
      <c r="A7" s="37"/>
      <c r="B7" s="37"/>
      <c r="C7" s="37"/>
      <c r="D7" s="37"/>
      <c r="E7" s="37"/>
      <c r="F7" s="37"/>
      <c r="G7" s="37"/>
      <c r="H7" s="37"/>
      <c r="I7" s="37"/>
      <c r="J7" s="37"/>
      <c r="K7" s="37"/>
    </row>
    <row r="8" spans="1:20" ht="29.25" customHeight="1" x14ac:dyDescent="0.2">
      <c r="A8" s="960" t="s">
        <v>75</v>
      </c>
      <c r="B8" s="960" t="s">
        <v>76</v>
      </c>
      <c r="C8" s="960" t="s">
        <v>77</v>
      </c>
      <c r="D8" s="960" t="s">
        <v>173</v>
      </c>
      <c r="E8" s="960"/>
      <c r="F8" s="960"/>
      <c r="G8" s="960"/>
      <c r="H8" s="960"/>
      <c r="I8" s="961" t="s">
        <v>268</v>
      </c>
      <c r="J8" s="960" t="s">
        <v>78</v>
      </c>
      <c r="K8" s="960" t="s">
        <v>269</v>
      </c>
      <c r="L8" s="959" t="s">
        <v>79</v>
      </c>
      <c r="S8" s="40"/>
      <c r="T8" s="40"/>
    </row>
    <row r="9" spans="1:20" ht="33.75" customHeight="1" x14ac:dyDescent="0.2">
      <c r="A9" s="960"/>
      <c r="B9" s="960"/>
      <c r="C9" s="960"/>
      <c r="D9" s="960" t="s">
        <v>80</v>
      </c>
      <c r="E9" s="960" t="s">
        <v>81</v>
      </c>
      <c r="F9" s="960"/>
      <c r="G9" s="960"/>
      <c r="H9" s="198" t="s">
        <v>82</v>
      </c>
      <c r="I9" s="1381"/>
      <c r="J9" s="960"/>
      <c r="K9" s="960"/>
      <c r="L9" s="959"/>
    </row>
    <row r="10" spans="1:20" ht="30" x14ac:dyDescent="0.2">
      <c r="A10" s="960"/>
      <c r="B10" s="960"/>
      <c r="C10" s="960"/>
      <c r="D10" s="960"/>
      <c r="E10" s="198" t="s">
        <v>83</v>
      </c>
      <c r="F10" s="198" t="s">
        <v>84</v>
      </c>
      <c r="G10" s="198" t="s">
        <v>18</v>
      </c>
      <c r="H10" s="198"/>
      <c r="I10" s="962"/>
      <c r="J10" s="960"/>
      <c r="K10" s="960"/>
      <c r="L10" s="959"/>
    </row>
    <row r="11" spans="1:20" s="90" customFormat="1" ht="17.100000000000001" customHeight="1" x14ac:dyDescent="0.2">
      <c r="A11" s="257">
        <v>1</v>
      </c>
      <c r="B11" s="257">
        <v>2</v>
      </c>
      <c r="C11" s="257">
        <v>3</v>
      </c>
      <c r="D11" s="257">
        <v>4</v>
      </c>
      <c r="E11" s="257">
        <v>5</v>
      </c>
      <c r="F11" s="257">
        <v>6</v>
      </c>
      <c r="G11" s="257">
        <v>7</v>
      </c>
      <c r="H11" s="257">
        <v>8</v>
      </c>
      <c r="I11" s="257">
        <v>9</v>
      </c>
      <c r="J11" s="257">
        <v>10</v>
      </c>
      <c r="K11" s="257">
        <v>11</v>
      </c>
      <c r="L11" s="257">
        <v>12</v>
      </c>
    </row>
    <row r="12" spans="1:20" ht="24.95" customHeight="1" x14ac:dyDescent="0.2">
      <c r="A12" s="258">
        <v>1</v>
      </c>
      <c r="B12" s="358" t="s">
        <v>852</v>
      </c>
      <c r="C12" s="349">
        <v>30</v>
      </c>
      <c r="D12" s="359">
        <v>0</v>
      </c>
      <c r="E12" s="359">
        <v>5</v>
      </c>
      <c r="F12" s="359">
        <v>1</v>
      </c>
      <c r="G12" s="205">
        <f>E12+F12</f>
        <v>6</v>
      </c>
      <c r="H12" s="205">
        <f>D12+G12</f>
        <v>6</v>
      </c>
      <c r="I12" s="205">
        <f>C12-H12</f>
        <v>24</v>
      </c>
      <c r="J12" s="205">
        <f>C12-H12</f>
        <v>24</v>
      </c>
      <c r="K12" s="205">
        <v>0</v>
      </c>
      <c r="L12" s="205"/>
    </row>
    <row r="13" spans="1:20" ht="24.95" customHeight="1" x14ac:dyDescent="0.2">
      <c r="A13" s="258">
        <v>2</v>
      </c>
      <c r="B13" s="358" t="s">
        <v>853</v>
      </c>
      <c r="C13" s="349">
        <v>31</v>
      </c>
      <c r="D13" s="359">
        <v>5</v>
      </c>
      <c r="E13" s="359">
        <v>3</v>
      </c>
      <c r="F13" s="359">
        <v>1</v>
      </c>
      <c r="G13" s="205">
        <f t="shared" ref="G13:G23" si="0">E13+F13</f>
        <v>4</v>
      </c>
      <c r="H13" s="205">
        <f t="shared" ref="H13:H23" si="1">D13+G13</f>
        <v>9</v>
      </c>
      <c r="I13" s="205">
        <f t="shared" ref="I13:I23" si="2">C13-H13</f>
        <v>22</v>
      </c>
      <c r="J13" s="205">
        <f t="shared" ref="J13:J23" si="3">C13-H13</f>
        <v>22</v>
      </c>
      <c r="K13" s="205">
        <v>0</v>
      </c>
      <c r="L13" s="205"/>
    </row>
    <row r="14" spans="1:20" ht="24.95" customHeight="1" x14ac:dyDescent="0.2">
      <c r="A14" s="258">
        <v>3</v>
      </c>
      <c r="B14" s="358" t="s">
        <v>854</v>
      </c>
      <c r="C14" s="349">
        <v>30</v>
      </c>
      <c r="D14" s="359">
        <v>30</v>
      </c>
      <c r="E14" s="359">
        <v>0</v>
      </c>
      <c r="F14" s="359">
        <v>0</v>
      </c>
      <c r="G14" s="205">
        <f t="shared" si="0"/>
        <v>0</v>
      </c>
      <c r="H14" s="205">
        <f t="shared" si="1"/>
        <v>30</v>
      </c>
      <c r="I14" s="205">
        <f t="shared" si="2"/>
        <v>0</v>
      </c>
      <c r="J14" s="205">
        <f t="shared" si="3"/>
        <v>0</v>
      </c>
      <c r="K14" s="205">
        <v>0</v>
      </c>
      <c r="L14" s="205"/>
    </row>
    <row r="15" spans="1:20" ht="24.95" customHeight="1" x14ac:dyDescent="0.2">
      <c r="A15" s="258">
        <v>4</v>
      </c>
      <c r="B15" s="358" t="s">
        <v>855</v>
      </c>
      <c r="C15" s="349">
        <v>31</v>
      </c>
      <c r="D15" s="359">
        <v>0</v>
      </c>
      <c r="E15" s="359">
        <v>5</v>
      </c>
      <c r="F15" s="359">
        <v>0</v>
      </c>
      <c r="G15" s="205">
        <f t="shared" si="0"/>
        <v>5</v>
      </c>
      <c r="H15" s="205">
        <f t="shared" si="1"/>
        <v>5</v>
      </c>
      <c r="I15" s="205">
        <f t="shared" si="2"/>
        <v>26</v>
      </c>
      <c r="J15" s="205">
        <f t="shared" si="3"/>
        <v>26</v>
      </c>
      <c r="K15" s="205">
        <v>0</v>
      </c>
      <c r="L15" s="205"/>
    </row>
    <row r="16" spans="1:20" ht="24.95" customHeight="1" x14ac:dyDescent="0.2">
      <c r="A16" s="258">
        <v>5</v>
      </c>
      <c r="B16" s="358" t="s">
        <v>856</v>
      </c>
      <c r="C16" s="349">
        <v>31</v>
      </c>
      <c r="D16" s="359">
        <v>0</v>
      </c>
      <c r="E16" s="359">
        <v>4</v>
      </c>
      <c r="F16" s="359">
        <v>2</v>
      </c>
      <c r="G16" s="205">
        <f t="shared" si="0"/>
        <v>6</v>
      </c>
      <c r="H16" s="205">
        <f t="shared" si="1"/>
        <v>6</v>
      </c>
      <c r="I16" s="205">
        <f t="shared" si="2"/>
        <v>25</v>
      </c>
      <c r="J16" s="205">
        <f t="shared" si="3"/>
        <v>25</v>
      </c>
      <c r="K16" s="205">
        <v>0</v>
      </c>
      <c r="L16" s="205"/>
    </row>
    <row r="17" spans="1:12" s="43" customFormat="1" ht="24.95" customHeight="1" x14ac:dyDescent="0.2">
      <c r="A17" s="258">
        <v>6</v>
      </c>
      <c r="B17" s="358" t="s">
        <v>857</v>
      </c>
      <c r="C17" s="360">
        <v>30</v>
      </c>
      <c r="D17" s="359">
        <v>0</v>
      </c>
      <c r="E17" s="359">
        <v>5</v>
      </c>
      <c r="F17" s="359">
        <v>3</v>
      </c>
      <c r="G17" s="205">
        <f t="shared" si="0"/>
        <v>8</v>
      </c>
      <c r="H17" s="205">
        <f t="shared" si="1"/>
        <v>8</v>
      </c>
      <c r="I17" s="205">
        <f t="shared" si="2"/>
        <v>22</v>
      </c>
      <c r="J17" s="205">
        <f t="shared" si="3"/>
        <v>22</v>
      </c>
      <c r="K17" s="205">
        <v>0</v>
      </c>
      <c r="L17" s="258"/>
    </row>
    <row r="18" spans="1:12" s="43" customFormat="1" ht="24.95" customHeight="1" x14ac:dyDescent="0.2">
      <c r="A18" s="258">
        <v>7</v>
      </c>
      <c r="B18" s="358" t="s">
        <v>858</v>
      </c>
      <c r="C18" s="360">
        <v>31</v>
      </c>
      <c r="D18" s="359">
        <v>0</v>
      </c>
      <c r="E18" s="359">
        <v>4</v>
      </c>
      <c r="F18" s="359">
        <v>9</v>
      </c>
      <c r="G18" s="205">
        <f t="shared" si="0"/>
        <v>13</v>
      </c>
      <c r="H18" s="205">
        <f t="shared" si="1"/>
        <v>13</v>
      </c>
      <c r="I18" s="205">
        <f t="shared" si="2"/>
        <v>18</v>
      </c>
      <c r="J18" s="205">
        <f t="shared" si="3"/>
        <v>18</v>
      </c>
      <c r="K18" s="205">
        <v>0</v>
      </c>
      <c r="L18" s="258"/>
    </row>
    <row r="19" spans="1:12" s="43" customFormat="1" ht="24.95" customHeight="1" x14ac:dyDescent="0.2">
      <c r="A19" s="258">
        <v>8</v>
      </c>
      <c r="B19" s="358" t="s">
        <v>859</v>
      </c>
      <c r="C19" s="360">
        <v>30</v>
      </c>
      <c r="D19" s="359">
        <v>0</v>
      </c>
      <c r="E19" s="359">
        <v>4</v>
      </c>
      <c r="F19" s="359">
        <v>9</v>
      </c>
      <c r="G19" s="205">
        <f t="shared" si="0"/>
        <v>13</v>
      </c>
      <c r="H19" s="205">
        <f t="shared" si="1"/>
        <v>13</v>
      </c>
      <c r="I19" s="205">
        <f t="shared" si="2"/>
        <v>17</v>
      </c>
      <c r="J19" s="205">
        <f t="shared" si="3"/>
        <v>17</v>
      </c>
      <c r="K19" s="205">
        <v>0</v>
      </c>
      <c r="L19" s="258"/>
    </row>
    <row r="20" spans="1:12" s="43" customFormat="1" ht="24.95" customHeight="1" x14ac:dyDescent="0.2">
      <c r="A20" s="258">
        <v>9</v>
      </c>
      <c r="B20" s="358" t="s">
        <v>860</v>
      </c>
      <c r="C20" s="360">
        <v>31</v>
      </c>
      <c r="D20" s="359">
        <v>0</v>
      </c>
      <c r="E20" s="359">
        <v>5</v>
      </c>
      <c r="F20" s="359">
        <v>2</v>
      </c>
      <c r="G20" s="205">
        <f t="shared" si="0"/>
        <v>7</v>
      </c>
      <c r="H20" s="205">
        <f t="shared" si="1"/>
        <v>7</v>
      </c>
      <c r="I20" s="205">
        <f t="shared" si="2"/>
        <v>24</v>
      </c>
      <c r="J20" s="205">
        <f t="shared" si="3"/>
        <v>24</v>
      </c>
      <c r="K20" s="205">
        <v>0</v>
      </c>
      <c r="L20" s="258"/>
    </row>
    <row r="21" spans="1:12" s="43" customFormat="1" ht="24.95" customHeight="1" x14ac:dyDescent="0.2">
      <c r="A21" s="258">
        <v>10</v>
      </c>
      <c r="B21" s="358" t="s">
        <v>861</v>
      </c>
      <c r="C21" s="360">
        <v>31</v>
      </c>
      <c r="D21" s="359">
        <v>13</v>
      </c>
      <c r="E21" s="359">
        <v>2</v>
      </c>
      <c r="F21" s="359">
        <v>2</v>
      </c>
      <c r="G21" s="205">
        <f t="shared" si="0"/>
        <v>4</v>
      </c>
      <c r="H21" s="205">
        <f t="shared" si="1"/>
        <v>17</v>
      </c>
      <c r="I21" s="205">
        <f t="shared" si="2"/>
        <v>14</v>
      </c>
      <c r="J21" s="205">
        <f t="shared" si="3"/>
        <v>14</v>
      </c>
      <c r="K21" s="205">
        <v>0</v>
      </c>
      <c r="L21" s="258"/>
    </row>
    <row r="22" spans="1:12" s="43" customFormat="1" ht="24.95" customHeight="1" x14ac:dyDescent="0.2">
      <c r="A22" s="258">
        <v>11</v>
      </c>
      <c r="B22" s="358" t="s">
        <v>862</v>
      </c>
      <c r="C22" s="360">
        <v>28</v>
      </c>
      <c r="D22" s="359">
        <v>0</v>
      </c>
      <c r="E22" s="359">
        <v>4</v>
      </c>
      <c r="F22" s="359">
        <v>1</v>
      </c>
      <c r="G22" s="205">
        <f t="shared" si="0"/>
        <v>5</v>
      </c>
      <c r="H22" s="205">
        <f t="shared" si="1"/>
        <v>5</v>
      </c>
      <c r="I22" s="205">
        <f t="shared" si="2"/>
        <v>23</v>
      </c>
      <c r="J22" s="205">
        <f t="shared" si="3"/>
        <v>23</v>
      </c>
      <c r="K22" s="205">
        <v>0</v>
      </c>
      <c r="L22" s="258"/>
    </row>
    <row r="23" spans="1:12" s="43" customFormat="1" ht="24.95" customHeight="1" x14ac:dyDescent="0.2">
      <c r="A23" s="258">
        <v>12</v>
      </c>
      <c r="B23" s="358" t="s">
        <v>863</v>
      </c>
      <c r="C23" s="360">
        <v>31</v>
      </c>
      <c r="D23" s="359">
        <v>0</v>
      </c>
      <c r="E23" s="359">
        <v>5</v>
      </c>
      <c r="F23" s="359">
        <v>6</v>
      </c>
      <c r="G23" s="205">
        <f t="shared" si="0"/>
        <v>11</v>
      </c>
      <c r="H23" s="205">
        <f t="shared" si="1"/>
        <v>11</v>
      </c>
      <c r="I23" s="205">
        <f t="shared" si="2"/>
        <v>20</v>
      </c>
      <c r="J23" s="205">
        <f t="shared" si="3"/>
        <v>20</v>
      </c>
      <c r="K23" s="205">
        <v>0</v>
      </c>
      <c r="L23" s="258"/>
    </row>
    <row r="24" spans="1:12" s="142" customFormat="1" ht="24.95" customHeight="1" x14ac:dyDescent="0.2">
      <c r="A24" s="198"/>
      <c r="B24" s="259" t="s">
        <v>18</v>
      </c>
      <c r="C24" s="198">
        <f>SUM(C12:C23)</f>
        <v>365</v>
      </c>
      <c r="D24" s="198">
        <f>SUM(D12:D23)</f>
        <v>48</v>
      </c>
      <c r="E24" s="198">
        <f t="shared" ref="E24:K24" si="4">SUM(E12:E23)</f>
        <v>46</v>
      </c>
      <c r="F24" s="198">
        <f t="shared" si="4"/>
        <v>36</v>
      </c>
      <c r="G24" s="198">
        <f t="shared" si="4"/>
        <v>82</v>
      </c>
      <c r="H24" s="198">
        <f t="shared" si="4"/>
        <v>130</v>
      </c>
      <c r="I24" s="198">
        <f t="shared" si="4"/>
        <v>235</v>
      </c>
      <c r="J24" s="198">
        <f t="shared" si="4"/>
        <v>235</v>
      </c>
      <c r="K24" s="198">
        <f t="shared" si="4"/>
        <v>0</v>
      </c>
      <c r="L24" s="198"/>
    </row>
    <row r="25" spans="1:12" s="43" customFormat="1" ht="11.25" customHeight="1" x14ac:dyDescent="0.2">
      <c r="A25" s="44"/>
      <c r="B25" s="45"/>
      <c r="C25" s="46"/>
      <c r="D25" s="44"/>
      <c r="E25" s="44"/>
      <c r="F25" s="44"/>
      <c r="G25" s="44"/>
      <c r="H25" s="44"/>
      <c r="I25" s="44"/>
      <c r="J25" s="44"/>
      <c r="K25" s="44"/>
    </row>
    <row r="26" spans="1:12" ht="15" x14ac:dyDescent="0.25">
      <c r="A26" s="39" t="s">
        <v>112</v>
      </c>
      <c r="B26" s="39"/>
      <c r="C26" s="39"/>
      <c r="D26" s="39"/>
      <c r="E26" s="39"/>
      <c r="F26" s="39"/>
      <c r="G26" s="39"/>
      <c r="H26" s="39"/>
      <c r="I26" s="39"/>
      <c r="J26" s="39"/>
    </row>
    <row r="27" spans="1:12" ht="15" x14ac:dyDescent="0.25">
      <c r="A27" s="39"/>
      <c r="B27" s="39"/>
      <c r="C27" s="39"/>
      <c r="D27" s="39"/>
      <c r="E27" s="39"/>
      <c r="F27" s="39"/>
      <c r="G27" s="39"/>
      <c r="H27" s="39"/>
      <c r="I27" s="39"/>
      <c r="J27" s="39"/>
    </row>
    <row r="28" spans="1:12" ht="15" x14ac:dyDescent="0.25">
      <c r="A28" s="39"/>
      <c r="B28" s="39"/>
      <c r="C28" s="39"/>
      <c r="D28" s="39"/>
      <c r="E28" s="39"/>
      <c r="F28" s="39"/>
      <c r="G28" s="39"/>
      <c r="H28" s="39"/>
      <c r="I28" s="39"/>
      <c r="J28" s="39"/>
    </row>
    <row r="29" spans="1:12" x14ac:dyDescent="0.2">
      <c r="A29" s="11" t="s">
        <v>628</v>
      </c>
      <c r="B29" s="11"/>
      <c r="C29" s="11"/>
      <c r="D29" s="11"/>
      <c r="E29" s="11"/>
      <c r="F29" s="11"/>
      <c r="G29" s="11"/>
      <c r="H29" s="11"/>
      <c r="I29" s="11"/>
      <c r="K29" s="1010" t="s">
        <v>12</v>
      </c>
      <c r="L29" s="1010"/>
    </row>
    <row r="30" spans="1:12" x14ac:dyDescent="0.2">
      <c r="A30" s="1086" t="s">
        <v>13</v>
      </c>
      <c r="B30" s="1086"/>
      <c r="C30" s="1086"/>
      <c r="D30" s="1086"/>
      <c r="E30" s="1086"/>
      <c r="F30" s="1086"/>
      <c r="G30" s="1086"/>
      <c r="H30" s="1086"/>
      <c r="I30" s="1086"/>
      <c r="J30" s="1086"/>
      <c r="K30" s="1086"/>
      <c r="L30" s="1086"/>
    </row>
    <row r="31" spans="1:12" x14ac:dyDescent="0.2">
      <c r="A31" s="1086" t="s">
        <v>633</v>
      </c>
      <c r="B31" s="1086"/>
      <c r="C31" s="1086"/>
      <c r="D31" s="1086"/>
      <c r="E31" s="1086"/>
      <c r="F31" s="1086"/>
      <c r="G31" s="1086"/>
      <c r="H31" s="1086"/>
      <c r="I31" s="1086"/>
      <c r="J31" s="1086"/>
      <c r="K31" s="1086"/>
      <c r="L31" s="1086"/>
    </row>
    <row r="32" spans="1:12" x14ac:dyDescent="0.2">
      <c r="A32" s="11"/>
      <c r="B32" s="11"/>
      <c r="C32" s="11"/>
      <c r="D32" s="11"/>
      <c r="E32" s="11"/>
      <c r="F32" s="11"/>
      <c r="G32" s="11"/>
      <c r="H32" s="12"/>
      <c r="J32" s="1" t="s">
        <v>85</v>
      </c>
      <c r="K32" s="11"/>
    </row>
  </sheetData>
  <mergeCells count="19">
    <mergeCell ref="C1:H1"/>
    <mergeCell ref="J1:K1"/>
    <mergeCell ref="A6:C6"/>
    <mergeCell ref="L8:L10"/>
    <mergeCell ref="A2:L2"/>
    <mergeCell ref="A3:L3"/>
    <mergeCell ref="A5:L5"/>
    <mergeCell ref="K8:K10"/>
    <mergeCell ref="K29:L29"/>
    <mergeCell ref="A30:L30"/>
    <mergeCell ref="A31:L31"/>
    <mergeCell ref="A8:A10"/>
    <mergeCell ref="B8:B10"/>
    <mergeCell ref="C8:C10"/>
    <mergeCell ref="D8:H8"/>
    <mergeCell ref="J8:J10"/>
    <mergeCell ref="D9:D10"/>
    <mergeCell ref="E9:G9"/>
    <mergeCell ref="I8:I10"/>
  </mergeCells>
  <phoneticPr fontId="0" type="noConversion"/>
  <printOptions horizontalCentered="1"/>
  <pageMargins left="0.46" right="0.39" top="0.3" bottom="0" header="0.25" footer="0.17"/>
  <pageSetup paperSize="9" scale="88"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00000"/>
    <pageSetUpPr fitToPage="1"/>
  </sheetPr>
  <dimension ref="A1:S32"/>
  <sheetViews>
    <sheetView view="pageBreakPreview" zoomScaleSheetLayoutView="100" workbookViewId="0">
      <selection activeCell="N16" sqref="N16"/>
    </sheetView>
  </sheetViews>
  <sheetFormatPr defaultRowHeight="14.25" x14ac:dyDescent="0.2"/>
  <cols>
    <col min="1" max="1" width="6.7109375" style="38" customWidth="1"/>
    <col min="2" max="2" width="14.7109375" style="38" customWidth="1"/>
    <col min="3" max="3" width="11.7109375" style="38" customWidth="1"/>
    <col min="4" max="4" width="12" style="38" customWidth="1"/>
    <col min="5" max="5" width="13.28515625" style="38" customWidth="1"/>
    <col min="6" max="6" width="18.85546875" style="38" customWidth="1"/>
    <col min="7" max="7" width="13.85546875" style="38" customWidth="1"/>
    <col min="8" max="8" width="14.7109375" style="38" customWidth="1"/>
    <col min="9" max="9" width="15.28515625" style="38" customWidth="1"/>
    <col min="10" max="10" width="15.7109375" style="38" customWidth="1"/>
    <col min="11" max="11" width="16.28515625" style="38" customWidth="1"/>
    <col min="12" max="16384" width="9.140625" style="38"/>
  </cols>
  <sheetData>
    <row r="1" spans="1:19" ht="15" customHeight="1" x14ac:dyDescent="0.25">
      <c r="C1" s="990"/>
      <c r="D1" s="990"/>
      <c r="E1" s="990"/>
      <c r="F1" s="990"/>
      <c r="G1" s="990"/>
      <c r="H1" s="990"/>
      <c r="I1" s="97"/>
      <c r="K1" s="493" t="s">
        <v>698</v>
      </c>
    </row>
    <row r="2" spans="1:19" s="42" customFormat="1" ht="13.5" customHeight="1" x14ac:dyDescent="0.2">
      <c r="A2" s="1382" t="s">
        <v>0</v>
      </c>
      <c r="B2" s="1382"/>
      <c r="C2" s="1382"/>
      <c r="D2" s="1382"/>
      <c r="E2" s="1382"/>
      <c r="F2" s="1382"/>
      <c r="G2" s="1382"/>
      <c r="H2" s="1382"/>
      <c r="I2" s="1382"/>
      <c r="J2" s="1382"/>
      <c r="K2" s="1382"/>
    </row>
    <row r="3" spans="1:19" s="42" customFormat="1" ht="14.25" customHeight="1" x14ac:dyDescent="0.25">
      <c r="A3" s="1056" t="s">
        <v>794</v>
      </c>
      <c r="B3" s="1056"/>
      <c r="C3" s="1056"/>
      <c r="D3" s="1056"/>
      <c r="E3" s="1056"/>
      <c r="F3" s="1056"/>
      <c r="G3" s="1056"/>
      <c r="H3" s="1056"/>
      <c r="I3" s="1056"/>
      <c r="J3" s="1056"/>
      <c r="K3" s="1056"/>
      <c r="L3" s="70"/>
      <c r="M3" s="70"/>
      <c r="N3" s="70"/>
      <c r="O3" s="70"/>
      <c r="P3" s="70"/>
      <c r="Q3" s="70"/>
    </row>
    <row r="4" spans="1:19" s="42" customFormat="1" ht="18" customHeight="1" x14ac:dyDescent="0.2">
      <c r="A4" s="1264" t="s">
        <v>699</v>
      </c>
      <c r="B4" s="1264"/>
      <c r="C4" s="1264"/>
      <c r="D4" s="1264"/>
      <c r="E4" s="1264"/>
      <c r="F4" s="1264"/>
      <c r="G4" s="1264"/>
      <c r="H4" s="1264"/>
      <c r="I4" s="1264"/>
      <c r="J4" s="1264"/>
      <c r="K4" s="1264"/>
    </row>
    <row r="5" spans="1:19" ht="15.75" x14ac:dyDescent="0.25">
      <c r="A5" s="1000" t="s">
        <v>463</v>
      </c>
      <c r="B5" s="1000"/>
      <c r="C5" s="1000"/>
      <c r="D5" s="83"/>
      <c r="E5" s="83"/>
      <c r="F5" s="83"/>
      <c r="G5" s="83"/>
      <c r="H5" s="83"/>
      <c r="I5" s="95"/>
      <c r="J5" s="95"/>
    </row>
    <row r="6" spans="1:19" ht="29.25" customHeight="1" x14ac:dyDescent="0.2">
      <c r="A6" s="960" t="s">
        <v>75</v>
      </c>
      <c r="B6" s="960" t="s">
        <v>76</v>
      </c>
      <c r="C6" s="960" t="s">
        <v>77</v>
      </c>
      <c r="D6" s="960" t="s">
        <v>174</v>
      </c>
      <c r="E6" s="960"/>
      <c r="F6" s="960"/>
      <c r="G6" s="960"/>
      <c r="H6" s="960"/>
      <c r="I6" s="961" t="s">
        <v>268</v>
      </c>
      <c r="J6" s="960" t="s">
        <v>78</v>
      </c>
      <c r="K6" s="960" t="s">
        <v>250</v>
      </c>
    </row>
    <row r="7" spans="1:19" ht="34.15" customHeight="1" x14ac:dyDescent="0.2">
      <c r="A7" s="960"/>
      <c r="B7" s="960"/>
      <c r="C7" s="960"/>
      <c r="D7" s="960" t="s">
        <v>80</v>
      </c>
      <c r="E7" s="960" t="s">
        <v>81</v>
      </c>
      <c r="F7" s="960"/>
      <c r="G7" s="960"/>
      <c r="H7" s="961" t="s">
        <v>82</v>
      </c>
      <c r="I7" s="1381"/>
      <c r="J7" s="960"/>
      <c r="K7" s="960"/>
      <c r="R7" s="40"/>
      <c r="S7" s="40"/>
    </row>
    <row r="8" spans="1:19" ht="33.75" customHeight="1" x14ac:dyDescent="0.2">
      <c r="A8" s="960"/>
      <c r="B8" s="960"/>
      <c r="C8" s="960"/>
      <c r="D8" s="960"/>
      <c r="E8" s="198" t="s">
        <v>83</v>
      </c>
      <c r="F8" s="198" t="s">
        <v>84</v>
      </c>
      <c r="G8" s="198" t="s">
        <v>18</v>
      </c>
      <c r="H8" s="962"/>
      <c r="I8" s="962"/>
      <c r="J8" s="960"/>
      <c r="K8" s="960"/>
    </row>
    <row r="9" spans="1:19" s="43" customFormat="1" ht="17.100000000000001" customHeight="1" x14ac:dyDescent="0.2">
      <c r="A9" s="198">
        <v>1</v>
      </c>
      <c r="B9" s="198">
        <v>2</v>
      </c>
      <c r="C9" s="198">
        <v>3</v>
      </c>
      <c r="D9" s="198">
        <v>4</v>
      </c>
      <c r="E9" s="198">
        <v>5</v>
      </c>
      <c r="F9" s="198">
        <v>6</v>
      </c>
      <c r="G9" s="198">
        <v>7</v>
      </c>
      <c r="H9" s="198">
        <v>8</v>
      </c>
      <c r="I9" s="198">
        <v>9</v>
      </c>
      <c r="J9" s="198">
        <v>10</v>
      </c>
      <c r="K9" s="198">
        <v>11</v>
      </c>
    </row>
    <row r="10" spans="1:19" ht="24.95" customHeight="1" x14ac:dyDescent="0.2">
      <c r="A10" s="258">
        <v>1</v>
      </c>
      <c r="B10" s="358" t="s">
        <v>726</v>
      </c>
      <c r="C10" s="349">
        <v>30</v>
      </c>
      <c r="D10" s="359">
        <v>0</v>
      </c>
      <c r="E10" s="359">
        <v>5</v>
      </c>
      <c r="F10" s="359">
        <v>1</v>
      </c>
      <c r="G10" s="789">
        <f>E10+F10</f>
        <v>6</v>
      </c>
      <c r="H10" s="789">
        <f>D10+G10</f>
        <v>6</v>
      </c>
      <c r="I10" s="789">
        <f>C10-H10</f>
        <v>24</v>
      </c>
      <c r="J10" s="789">
        <f>C10-H10</f>
        <v>24</v>
      </c>
      <c r="K10" s="789"/>
    </row>
    <row r="11" spans="1:19" ht="24.95" customHeight="1" x14ac:dyDescent="0.2">
      <c r="A11" s="258">
        <v>2</v>
      </c>
      <c r="B11" s="358" t="s">
        <v>727</v>
      </c>
      <c r="C11" s="349">
        <v>31</v>
      </c>
      <c r="D11" s="359">
        <v>5</v>
      </c>
      <c r="E11" s="359">
        <v>3</v>
      </c>
      <c r="F11" s="359">
        <v>1</v>
      </c>
      <c r="G11" s="789">
        <f t="shared" ref="G11:G21" si="0">E11+F11</f>
        <v>4</v>
      </c>
      <c r="H11" s="789">
        <f t="shared" ref="H11:H21" si="1">D11+G11</f>
        <v>9</v>
      </c>
      <c r="I11" s="789">
        <f t="shared" ref="I11:I21" si="2">C11-H11</f>
        <v>22</v>
      </c>
      <c r="J11" s="789">
        <f t="shared" ref="J11:J21" si="3">C11-H11</f>
        <v>22</v>
      </c>
      <c r="K11" s="789"/>
    </row>
    <row r="12" spans="1:19" ht="24.95" customHeight="1" x14ac:dyDescent="0.2">
      <c r="A12" s="258">
        <v>3</v>
      </c>
      <c r="B12" s="358" t="s">
        <v>728</v>
      </c>
      <c r="C12" s="349">
        <v>30</v>
      </c>
      <c r="D12" s="359">
        <v>30</v>
      </c>
      <c r="E12" s="359">
        <v>0</v>
      </c>
      <c r="F12" s="359">
        <v>0</v>
      </c>
      <c r="G12" s="789">
        <f t="shared" si="0"/>
        <v>0</v>
      </c>
      <c r="H12" s="789">
        <f t="shared" si="1"/>
        <v>30</v>
      </c>
      <c r="I12" s="789">
        <f t="shared" si="2"/>
        <v>0</v>
      </c>
      <c r="J12" s="789">
        <f t="shared" si="3"/>
        <v>0</v>
      </c>
      <c r="K12" s="789"/>
    </row>
    <row r="13" spans="1:19" ht="24.95" customHeight="1" x14ac:dyDescent="0.2">
      <c r="A13" s="258">
        <v>4</v>
      </c>
      <c r="B13" s="358" t="s">
        <v>729</v>
      </c>
      <c r="C13" s="349">
        <v>31</v>
      </c>
      <c r="D13" s="359">
        <v>0</v>
      </c>
      <c r="E13" s="359">
        <v>5</v>
      </c>
      <c r="F13" s="359">
        <v>0</v>
      </c>
      <c r="G13" s="789">
        <f t="shared" si="0"/>
        <v>5</v>
      </c>
      <c r="H13" s="789">
        <f t="shared" si="1"/>
        <v>5</v>
      </c>
      <c r="I13" s="789">
        <f t="shared" si="2"/>
        <v>26</v>
      </c>
      <c r="J13" s="789">
        <f t="shared" si="3"/>
        <v>26</v>
      </c>
      <c r="K13" s="789"/>
    </row>
    <row r="14" spans="1:19" ht="24.95" customHeight="1" x14ac:dyDescent="0.2">
      <c r="A14" s="258">
        <v>5</v>
      </c>
      <c r="B14" s="358" t="s">
        <v>730</v>
      </c>
      <c r="C14" s="349">
        <v>31</v>
      </c>
      <c r="D14" s="359">
        <v>0</v>
      </c>
      <c r="E14" s="359">
        <v>4</v>
      </c>
      <c r="F14" s="359">
        <v>2</v>
      </c>
      <c r="G14" s="789">
        <f t="shared" si="0"/>
        <v>6</v>
      </c>
      <c r="H14" s="789">
        <f t="shared" si="1"/>
        <v>6</v>
      </c>
      <c r="I14" s="789">
        <f t="shared" si="2"/>
        <v>25</v>
      </c>
      <c r="J14" s="789">
        <f t="shared" si="3"/>
        <v>25</v>
      </c>
      <c r="K14" s="789"/>
    </row>
    <row r="15" spans="1:19" s="43" customFormat="1" ht="24.95" customHeight="1" x14ac:dyDescent="0.2">
      <c r="A15" s="258">
        <v>6</v>
      </c>
      <c r="B15" s="358" t="s">
        <v>731</v>
      </c>
      <c r="C15" s="360">
        <v>30</v>
      </c>
      <c r="D15" s="359">
        <v>0</v>
      </c>
      <c r="E15" s="359">
        <v>5</v>
      </c>
      <c r="F15" s="359">
        <v>3</v>
      </c>
      <c r="G15" s="789">
        <f t="shared" si="0"/>
        <v>8</v>
      </c>
      <c r="H15" s="789">
        <f t="shared" si="1"/>
        <v>8</v>
      </c>
      <c r="I15" s="789">
        <f t="shared" si="2"/>
        <v>22</v>
      </c>
      <c r="J15" s="789">
        <f t="shared" si="3"/>
        <v>22</v>
      </c>
      <c r="K15" s="789"/>
    </row>
    <row r="16" spans="1:19" s="43" customFormat="1" ht="24.95" customHeight="1" x14ac:dyDescent="0.2">
      <c r="A16" s="258">
        <v>7</v>
      </c>
      <c r="B16" s="358" t="s">
        <v>732</v>
      </c>
      <c r="C16" s="360">
        <v>31</v>
      </c>
      <c r="D16" s="359">
        <v>0</v>
      </c>
      <c r="E16" s="359">
        <v>4</v>
      </c>
      <c r="F16" s="359">
        <v>9</v>
      </c>
      <c r="G16" s="789">
        <f t="shared" si="0"/>
        <v>13</v>
      </c>
      <c r="H16" s="789">
        <f t="shared" si="1"/>
        <v>13</v>
      </c>
      <c r="I16" s="789">
        <f t="shared" si="2"/>
        <v>18</v>
      </c>
      <c r="J16" s="789">
        <f t="shared" si="3"/>
        <v>18</v>
      </c>
      <c r="K16" s="789"/>
    </row>
    <row r="17" spans="1:11" s="43" customFormat="1" ht="24.95" customHeight="1" x14ac:dyDescent="0.2">
      <c r="A17" s="258">
        <v>8</v>
      </c>
      <c r="B17" s="358" t="s">
        <v>733</v>
      </c>
      <c r="C17" s="360">
        <v>30</v>
      </c>
      <c r="D17" s="359">
        <v>0</v>
      </c>
      <c r="E17" s="359">
        <v>4</v>
      </c>
      <c r="F17" s="359">
        <v>9</v>
      </c>
      <c r="G17" s="789">
        <f t="shared" si="0"/>
        <v>13</v>
      </c>
      <c r="H17" s="789">
        <f t="shared" si="1"/>
        <v>13</v>
      </c>
      <c r="I17" s="789">
        <f t="shared" si="2"/>
        <v>17</v>
      </c>
      <c r="J17" s="789">
        <f t="shared" si="3"/>
        <v>17</v>
      </c>
      <c r="K17" s="789"/>
    </row>
    <row r="18" spans="1:11" s="43" customFormat="1" ht="24.95" customHeight="1" x14ac:dyDescent="0.2">
      <c r="A18" s="258">
        <v>9</v>
      </c>
      <c r="B18" s="358" t="s">
        <v>734</v>
      </c>
      <c r="C18" s="360">
        <v>31</v>
      </c>
      <c r="D18" s="359">
        <v>0</v>
      </c>
      <c r="E18" s="359">
        <v>5</v>
      </c>
      <c r="F18" s="359">
        <v>2</v>
      </c>
      <c r="G18" s="789">
        <f t="shared" si="0"/>
        <v>7</v>
      </c>
      <c r="H18" s="789">
        <f t="shared" si="1"/>
        <v>7</v>
      </c>
      <c r="I18" s="789">
        <f t="shared" si="2"/>
        <v>24</v>
      </c>
      <c r="J18" s="789">
        <f t="shared" si="3"/>
        <v>24</v>
      </c>
      <c r="K18" s="789"/>
    </row>
    <row r="19" spans="1:11" s="43" customFormat="1" ht="24.95" customHeight="1" x14ac:dyDescent="0.2">
      <c r="A19" s="258">
        <v>10</v>
      </c>
      <c r="B19" s="358" t="s">
        <v>735</v>
      </c>
      <c r="C19" s="360">
        <v>31</v>
      </c>
      <c r="D19" s="359">
        <v>13</v>
      </c>
      <c r="E19" s="359">
        <v>2</v>
      </c>
      <c r="F19" s="359">
        <v>2</v>
      </c>
      <c r="G19" s="789">
        <f t="shared" si="0"/>
        <v>4</v>
      </c>
      <c r="H19" s="789">
        <f t="shared" si="1"/>
        <v>17</v>
      </c>
      <c r="I19" s="789">
        <f t="shared" si="2"/>
        <v>14</v>
      </c>
      <c r="J19" s="789">
        <f t="shared" si="3"/>
        <v>14</v>
      </c>
      <c r="K19" s="789"/>
    </row>
    <row r="20" spans="1:11" s="43" customFormat="1" ht="24.95" customHeight="1" x14ac:dyDescent="0.2">
      <c r="A20" s="258">
        <v>11</v>
      </c>
      <c r="B20" s="358" t="s">
        <v>736</v>
      </c>
      <c r="C20" s="360">
        <v>28</v>
      </c>
      <c r="D20" s="359">
        <v>0</v>
      </c>
      <c r="E20" s="359">
        <v>4</v>
      </c>
      <c r="F20" s="359">
        <v>1</v>
      </c>
      <c r="G20" s="789">
        <f t="shared" si="0"/>
        <v>5</v>
      </c>
      <c r="H20" s="789">
        <f t="shared" si="1"/>
        <v>5</v>
      </c>
      <c r="I20" s="789">
        <f t="shared" si="2"/>
        <v>23</v>
      </c>
      <c r="J20" s="789">
        <f t="shared" si="3"/>
        <v>23</v>
      </c>
      <c r="K20" s="789"/>
    </row>
    <row r="21" spans="1:11" s="43" customFormat="1" ht="24.95" customHeight="1" x14ac:dyDescent="0.2">
      <c r="A21" s="258">
        <v>12</v>
      </c>
      <c r="B21" s="358" t="s">
        <v>737</v>
      </c>
      <c r="C21" s="360">
        <v>31</v>
      </c>
      <c r="D21" s="359">
        <v>0</v>
      </c>
      <c r="E21" s="359">
        <v>5</v>
      </c>
      <c r="F21" s="359">
        <v>6</v>
      </c>
      <c r="G21" s="789">
        <f t="shared" si="0"/>
        <v>11</v>
      </c>
      <c r="H21" s="789">
        <f t="shared" si="1"/>
        <v>11</v>
      </c>
      <c r="I21" s="789">
        <f t="shared" si="2"/>
        <v>20</v>
      </c>
      <c r="J21" s="789">
        <f t="shared" si="3"/>
        <v>20</v>
      </c>
      <c r="K21" s="789"/>
    </row>
    <row r="22" spans="1:11" s="142" customFormat="1" ht="24.95" customHeight="1" x14ac:dyDescent="0.2">
      <c r="A22" s="198"/>
      <c r="B22" s="259" t="s">
        <v>18</v>
      </c>
      <c r="C22" s="198">
        <f>SUM(C10:C21)</f>
        <v>365</v>
      </c>
      <c r="D22" s="198">
        <f>SUM(D10:D21)</f>
        <v>48</v>
      </c>
      <c r="E22" s="198">
        <f t="shared" ref="E22:J22" si="4">SUM(E10:E21)</f>
        <v>46</v>
      </c>
      <c r="F22" s="198">
        <f t="shared" si="4"/>
        <v>36</v>
      </c>
      <c r="G22" s="198">
        <f t="shared" si="4"/>
        <v>82</v>
      </c>
      <c r="H22" s="198">
        <f t="shared" si="4"/>
        <v>130</v>
      </c>
      <c r="I22" s="198">
        <f t="shared" si="4"/>
        <v>235</v>
      </c>
      <c r="J22" s="198">
        <f t="shared" si="4"/>
        <v>235</v>
      </c>
      <c r="K22" s="198"/>
    </row>
    <row r="23" spans="1:11" s="43" customFormat="1" ht="11.25" customHeight="1" x14ac:dyDescent="0.2">
      <c r="A23" s="44"/>
      <c r="B23" s="492"/>
      <c r="C23" s="46"/>
      <c r="D23" s="44"/>
      <c r="E23" s="44"/>
      <c r="F23" s="44"/>
      <c r="G23" s="44"/>
      <c r="H23" s="44"/>
      <c r="I23" s="44"/>
      <c r="J23" s="44"/>
    </row>
    <row r="24" spans="1:11" ht="12.75" customHeight="1" x14ac:dyDescent="0.2">
      <c r="A24" s="11" t="s">
        <v>112</v>
      </c>
      <c r="B24" s="11"/>
      <c r="C24" s="11"/>
      <c r="D24" s="11"/>
      <c r="E24" s="11"/>
      <c r="F24" s="11"/>
      <c r="G24" s="11"/>
      <c r="H24" s="11"/>
      <c r="I24" s="11"/>
      <c r="J24" s="11"/>
      <c r="K24" s="11"/>
    </row>
    <row r="25" spans="1:11" ht="12.75" customHeight="1" x14ac:dyDescent="0.2">
      <c r="A25" s="11"/>
      <c r="B25" s="11"/>
      <c r="C25" s="11"/>
      <c r="D25" s="11"/>
      <c r="E25" s="11"/>
      <c r="F25" s="11"/>
      <c r="G25" s="11"/>
      <c r="H25" s="11"/>
      <c r="I25" s="11"/>
      <c r="J25" s="11"/>
      <c r="K25" s="11"/>
    </row>
    <row r="26" spans="1:11" ht="12.75" customHeight="1" x14ac:dyDescent="0.2">
      <c r="A26" s="11"/>
      <c r="B26" s="11"/>
      <c r="C26" s="11"/>
      <c r="D26" s="11"/>
      <c r="E26" s="11"/>
      <c r="F26" s="11"/>
      <c r="G26" s="11"/>
      <c r="H26" s="11"/>
      <c r="I26" s="11"/>
      <c r="J26" s="11"/>
      <c r="K26" s="11"/>
    </row>
    <row r="27" spans="1:11" ht="12.75" customHeight="1" x14ac:dyDescent="0.2">
      <c r="A27" s="11"/>
      <c r="B27" s="11"/>
      <c r="C27" s="11"/>
      <c r="D27" s="11" t="s">
        <v>10</v>
      </c>
      <c r="E27" s="11"/>
      <c r="F27" s="11"/>
      <c r="G27" s="11"/>
      <c r="H27" s="11"/>
      <c r="I27" s="11"/>
      <c r="J27" s="11"/>
      <c r="K27" s="11"/>
    </row>
    <row r="28" spans="1:11" ht="12.75" customHeight="1" x14ac:dyDescent="0.2">
      <c r="A28" s="11"/>
      <c r="B28" s="55"/>
      <c r="C28" s="55"/>
      <c r="D28" s="55"/>
      <c r="E28" s="55"/>
      <c r="F28" s="55"/>
      <c r="G28" s="55"/>
      <c r="H28" s="55"/>
      <c r="I28" s="11"/>
      <c r="J28" s="1010" t="s">
        <v>12</v>
      </c>
      <c r="K28" s="1010"/>
    </row>
    <row r="29" spans="1:11" ht="12.75" customHeight="1" x14ac:dyDescent="0.2">
      <c r="A29" s="1086" t="s">
        <v>13</v>
      </c>
      <c r="B29" s="1086"/>
      <c r="C29" s="1086"/>
      <c r="D29" s="1086"/>
      <c r="E29" s="1086"/>
      <c r="F29" s="1086"/>
      <c r="G29" s="1086"/>
      <c r="H29" s="1086"/>
      <c r="I29" s="1086"/>
      <c r="J29" s="1086"/>
      <c r="K29" s="1086"/>
    </row>
    <row r="30" spans="1:11" ht="12.75" customHeight="1" x14ac:dyDescent="0.2">
      <c r="A30" s="1086" t="s">
        <v>631</v>
      </c>
      <c r="B30" s="1086"/>
      <c r="C30" s="1086"/>
      <c r="D30" s="1086"/>
      <c r="E30" s="1086"/>
      <c r="F30" s="1086"/>
      <c r="G30" s="1086"/>
      <c r="H30" s="1086"/>
      <c r="I30" s="1086"/>
      <c r="J30" s="1086"/>
      <c r="K30" s="1086"/>
    </row>
    <row r="31" spans="1:11" ht="12.75" customHeight="1" x14ac:dyDescent="0.2">
      <c r="A31" s="11" t="s">
        <v>628</v>
      </c>
      <c r="B31" s="11"/>
      <c r="C31" s="11"/>
      <c r="D31" s="11"/>
      <c r="E31" s="11"/>
      <c r="F31" s="11"/>
      <c r="G31" s="11"/>
      <c r="H31" s="11"/>
      <c r="I31" s="24"/>
      <c r="J31" s="24" t="s">
        <v>23</v>
      </c>
      <c r="K31" s="11"/>
    </row>
    <row r="32" spans="1:11" x14ac:dyDescent="0.2">
      <c r="A32" s="11"/>
      <c r="B32" s="12"/>
      <c r="C32" s="12"/>
      <c r="D32" s="12"/>
      <c r="E32" s="12"/>
      <c r="F32" s="12"/>
      <c r="G32" s="12"/>
      <c r="H32" s="12"/>
      <c r="I32" s="12"/>
      <c r="J32" s="12"/>
      <c r="K32" s="12"/>
    </row>
  </sheetData>
  <mergeCells count="18">
    <mergeCell ref="A4:K4"/>
    <mergeCell ref="K6:K8"/>
    <mergeCell ref="H7:H8"/>
    <mergeCell ref="C1:H1"/>
    <mergeCell ref="A5:C5"/>
    <mergeCell ref="A2:K2"/>
    <mergeCell ref="A3:K3"/>
    <mergeCell ref="J28:K28"/>
    <mergeCell ref="A29:K29"/>
    <mergeCell ref="A30:K30"/>
    <mergeCell ref="A6:A8"/>
    <mergeCell ref="B6:B8"/>
    <mergeCell ref="C6:C8"/>
    <mergeCell ref="D6:H6"/>
    <mergeCell ref="J6:J8"/>
    <mergeCell ref="D7:D8"/>
    <mergeCell ref="E7:G7"/>
    <mergeCell ref="I6:I8"/>
  </mergeCells>
  <phoneticPr fontId="0" type="noConversion"/>
  <printOptions horizontalCentered="1"/>
  <pageMargins left="0.4" right="0.33" top="0.23622047244094491" bottom="0.27" header="0.31496062992125984" footer="0.17"/>
  <pageSetup paperSize="9" scale="91"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00000"/>
    <pageSetUpPr fitToPage="1"/>
  </sheetPr>
  <dimension ref="A1:W41"/>
  <sheetViews>
    <sheetView view="pageBreakPreview" zoomScale="90" zoomScaleSheetLayoutView="90" workbookViewId="0">
      <selection activeCell="H10" sqref="H10"/>
    </sheetView>
  </sheetViews>
  <sheetFormatPr defaultRowHeight="12.75" x14ac:dyDescent="0.2"/>
  <cols>
    <col min="1" max="1" width="5" style="12" customWidth="1"/>
    <col min="2" max="2" width="19.140625" style="12" customWidth="1"/>
    <col min="3" max="3" width="12.28515625" style="12" customWidth="1"/>
    <col min="4" max="4" width="9.85546875" style="12" customWidth="1"/>
    <col min="5" max="5" width="11.42578125" style="12" customWidth="1"/>
    <col min="6" max="6" width="10.7109375" style="12" customWidth="1"/>
    <col min="7" max="7" width="11.7109375" style="12" customWidth="1"/>
    <col min="8" max="8" width="13.28515625" style="12" customWidth="1"/>
    <col min="9" max="9" width="9.7109375" style="12" customWidth="1"/>
    <col min="10" max="10" width="10.140625" style="12" customWidth="1"/>
    <col min="11" max="11" width="8.140625" style="12" customWidth="1"/>
    <col min="12" max="12" width="9.28515625" style="12" customWidth="1"/>
    <col min="13" max="16" width="8.140625" style="12" customWidth="1"/>
    <col min="17" max="17" width="8.85546875" style="12" customWidth="1"/>
    <col min="18" max="18" width="8.140625" style="12" customWidth="1"/>
    <col min="19" max="19" width="10" style="12" bestFit="1" customWidth="1"/>
    <col min="20" max="16384" width="9.140625" style="12"/>
  </cols>
  <sheetData>
    <row r="1" spans="1:23" ht="15" x14ac:dyDescent="0.2">
      <c r="G1" s="985"/>
      <c r="H1" s="985"/>
      <c r="I1" s="985"/>
      <c r="P1" s="1161" t="s">
        <v>701</v>
      </c>
      <c r="Q1" s="1161"/>
    </row>
    <row r="2" spans="1:23" ht="15.75" x14ac:dyDescent="0.25">
      <c r="A2" s="1056" t="s">
        <v>0</v>
      </c>
      <c r="B2" s="1056"/>
      <c r="C2" s="1056"/>
      <c r="D2" s="1056"/>
      <c r="E2" s="1056"/>
      <c r="F2" s="1056"/>
      <c r="G2" s="1056"/>
      <c r="H2" s="1056"/>
      <c r="I2" s="1056"/>
      <c r="J2" s="1056"/>
      <c r="K2" s="1056"/>
      <c r="L2" s="1056"/>
      <c r="M2" s="1056"/>
      <c r="N2" s="1056"/>
      <c r="O2" s="1056"/>
      <c r="P2" s="1056"/>
      <c r="Q2" s="1056"/>
      <c r="R2" s="1056"/>
    </row>
    <row r="3" spans="1:23" ht="15.75" x14ac:dyDescent="0.25">
      <c r="A3" s="1056" t="s">
        <v>794</v>
      </c>
      <c r="B3" s="1056"/>
      <c r="C3" s="1056"/>
      <c r="D3" s="1056"/>
      <c r="E3" s="1056"/>
      <c r="F3" s="1056"/>
      <c r="G3" s="1056"/>
      <c r="H3" s="1056"/>
      <c r="I3" s="1056"/>
      <c r="J3" s="1056"/>
      <c r="K3" s="1056"/>
      <c r="L3" s="1056"/>
      <c r="M3" s="1056"/>
      <c r="N3" s="1056"/>
      <c r="O3" s="1056"/>
      <c r="P3" s="1056"/>
      <c r="Q3" s="1056"/>
      <c r="R3" s="1056"/>
    </row>
    <row r="4" spans="1:23" s="48" customFormat="1" ht="15.75" customHeight="1" x14ac:dyDescent="0.2">
      <c r="A4" s="1383" t="s">
        <v>702</v>
      </c>
      <c r="B4" s="1383"/>
      <c r="C4" s="1383"/>
      <c r="D4" s="1383"/>
      <c r="E4" s="1383"/>
      <c r="F4" s="1383"/>
      <c r="G4" s="1383"/>
      <c r="H4" s="1383"/>
      <c r="I4" s="1383"/>
      <c r="J4" s="1383"/>
      <c r="K4" s="1383"/>
      <c r="L4" s="1383"/>
      <c r="M4" s="1383"/>
      <c r="N4" s="1383"/>
      <c r="O4" s="1383"/>
      <c r="P4" s="1383"/>
      <c r="Q4" s="1383"/>
      <c r="R4" s="1383"/>
    </row>
    <row r="5" spans="1:23" x14ac:dyDescent="0.2">
      <c r="A5" s="1383"/>
      <c r="B5" s="1383"/>
      <c r="C5" s="1383"/>
      <c r="D5" s="1383"/>
      <c r="E5" s="1383"/>
      <c r="F5" s="1383"/>
      <c r="G5" s="1383"/>
      <c r="H5" s="1383"/>
      <c r="I5" s="1383"/>
      <c r="J5" s="1383"/>
      <c r="K5" s="1383"/>
      <c r="L5" s="1383"/>
      <c r="M5" s="1383"/>
      <c r="N5" s="1383"/>
      <c r="O5" s="1383"/>
      <c r="P5" s="1383"/>
      <c r="Q5" s="1383"/>
      <c r="R5" s="1383"/>
    </row>
    <row r="6" spans="1:23" s="468" customFormat="1" ht="12" x14ac:dyDescent="0.2">
      <c r="A6" s="1163" t="s">
        <v>463</v>
      </c>
      <c r="B6" s="1163"/>
      <c r="C6" s="1163"/>
      <c r="H6" s="508"/>
      <c r="K6" s="1384"/>
      <c r="L6" s="1384"/>
      <c r="M6" s="1384"/>
      <c r="N6" s="1384"/>
      <c r="O6" s="1384"/>
      <c r="P6" s="1384"/>
      <c r="Q6" s="1384"/>
      <c r="R6" s="1384"/>
    </row>
    <row r="7" spans="1:23" ht="30.75" customHeight="1" x14ac:dyDescent="0.2">
      <c r="A7" s="1064" t="s">
        <v>2</v>
      </c>
      <c r="B7" s="1064" t="s">
        <v>3</v>
      </c>
      <c r="C7" s="1090" t="s">
        <v>700</v>
      </c>
      <c r="D7" s="1091"/>
      <c r="E7" s="1091"/>
      <c r="F7" s="1091"/>
      <c r="G7" s="1092"/>
      <c r="H7" s="1145" t="s">
        <v>86</v>
      </c>
      <c r="I7" s="1090" t="s">
        <v>87</v>
      </c>
      <c r="J7" s="1091"/>
      <c r="K7" s="1091"/>
      <c r="L7" s="1092"/>
      <c r="M7" s="1064" t="s">
        <v>885</v>
      </c>
      <c r="N7" s="1064"/>
      <c r="O7" s="1064"/>
      <c r="P7" s="1064"/>
      <c r="Q7" s="1064"/>
      <c r="R7" s="1064"/>
    </row>
    <row r="8" spans="1:23" ht="44.45" customHeight="1" x14ac:dyDescent="0.2">
      <c r="A8" s="1064"/>
      <c r="B8" s="1064"/>
      <c r="C8" s="195" t="s">
        <v>5</v>
      </c>
      <c r="D8" s="195" t="s">
        <v>6</v>
      </c>
      <c r="E8" s="306" t="s">
        <v>499</v>
      </c>
      <c r="F8" s="200" t="s">
        <v>106</v>
      </c>
      <c r="G8" s="200" t="s">
        <v>258</v>
      </c>
      <c r="H8" s="1304"/>
      <c r="I8" s="196" t="s">
        <v>197</v>
      </c>
      <c r="J8" s="196" t="s">
        <v>121</v>
      </c>
      <c r="K8" s="196" t="s">
        <v>122</v>
      </c>
      <c r="L8" s="306" t="s">
        <v>524</v>
      </c>
      <c r="M8" s="794" t="s">
        <v>879</v>
      </c>
      <c r="N8" s="853" t="s">
        <v>966</v>
      </c>
      <c r="O8" s="853" t="s">
        <v>967</v>
      </c>
      <c r="P8" s="853" t="s">
        <v>968</v>
      </c>
      <c r="Q8" s="794" t="s">
        <v>880</v>
      </c>
      <c r="R8" s="794" t="s">
        <v>881</v>
      </c>
    </row>
    <row r="9" spans="1:23" s="11" customFormat="1" x14ac:dyDescent="0.2">
      <c r="A9" s="195">
        <v>1</v>
      </c>
      <c r="B9" s="195">
        <v>2</v>
      </c>
      <c r="C9" s="195">
        <v>3</v>
      </c>
      <c r="D9" s="195">
        <v>4</v>
      </c>
      <c r="E9" s="195">
        <v>5</v>
      </c>
      <c r="F9" s="195">
        <v>6</v>
      </c>
      <c r="G9" s="195">
        <v>7</v>
      </c>
      <c r="H9" s="195">
        <v>8</v>
      </c>
      <c r="I9" s="195">
        <v>9</v>
      </c>
      <c r="J9" s="195">
        <v>10</v>
      </c>
      <c r="K9" s="195">
        <v>11</v>
      </c>
      <c r="L9" s="195">
        <v>12</v>
      </c>
      <c r="M9" s="790">
        <v>13</v>
      </c>
      <c r="N9" s="790">
        <v>14</v>
      </c>
      <c r="O9" s="790">
        <v>15</v>
      </c>
      <c r="P9" s="790">
        <v>16</v>
      </c>
      <c r="Q9" s="790">
        <v>17</v>
      </c>
      <c r="R9" s="790">
        <v>18</v>
      </c>
      <c r="S9" s="851"/>
    </row>
    <row r="10" spans="1:23" ht="24.95" customHeight="1" x14ac:dyDescent="0.2">
      <c r="A10" s="194">
        <v>1</v>
      </c>
      <c r="B10" s="225" t="s">
        <v>392</v>
      </c>
      <c r="C10" s="504">
        <v>23821</v>
      </c>
      <c r="D10" s="504">
        <v>147</v>
      </c>
      <c r="E10" s="504">
        <v>0</v>
      </c>
      <c r="F10" s="504">
        <v>0</v>
      </c>
      <c r="G10" s="505">
        <f>C10+D10+E10+F10</f>
        <v>23968</v>
      </c>
      <c r="H10" s="506">
        <v>235</v>
      </c>
      <c r="I10" s="361">
        <f>J10</f>
        <v>563.24800000000005</v>
      </c>
      <c r="J10" s="361">
        <f>G10*H10*100/1000000</f>
        <v>563.24800000000005</v>
      </c>
      <c r="K10" s="205">
        <v>0</v>
      </c>
      <c r="L10" s="205"/>
      <c r="M10" s="361">
        <f>N10+O10+P10+Q10+R10</f>
        <v>112.64959999999999</v>
      </c>
      <c r="N10" s="361">
        <f>(G10*35*20*0.000001)</f>
        <v>16.7776</v>
      </c>
      <c r="O10" s="807">
        <f>(G10*35*20*0.000001)</f>
        <v>16.7776</v>
      </c>
      <c r="P10" s="807">
        <f>(G10*165*20*0.000001)</f>
        <v>79.094399999999993</v>
      </c>
      <c r="Q10" s="807"/>
      <c r="R10" s="807"/>
      <c r="S10" s="851"/>
      <c r="T10" s="11"/>
    </row>
    <row r="11" spans="1:23" ht="24.95" customHeight="1" x14ac:dyDescent="0.2">
      <c r="A11" s="194">
        <v>2</v>
      </c>
      <c r="B11" s="225" t="s">
        <v>393</v>
      </c>
      <c r="C11" s="504">
        <v>11876</v>
      </c>
      <c r="D11" s="504">
        <v>29</v>
      </c>
      <c r="E11" s="504">
        <v>0</v>
      </c>
      <c r="F11" s="504">
        <v>0</v>
      </c>
      <c r="G11" s="505">
        <f t="shared" ref="G11:G22" si="0">C11+D11+E11+F11</f>
        <v>11905</v>
      </c>
      <c r="H11" s="506">
        <v>235</v>
      </c>
      <c r="I11" s="361">
        <f t="shared" ref="I11:I22" si="1">J11</f>
        <v>279.76749999999998</v>
      </c>
      <c r="J11" s="361">
        <f t="shared" ref="J11:J21" si="2">G11*H11*100/1000000</f>
        <v>279.76749999999998</v>
      </c>
      <c r="K11" s="205">
        <v>0</v>
      </c>
      <c r="L11" s="205"/>
      <c r="M11" s="807">
        <f t="shared" ref="M11:M22" si="3">N11+O11+P11+Q11+R11</f>
        <v>55.953499999999991</v>
      </c>
      <c r="N11" s="846">
        <f t="shared" ref="N11:N22" si="4">(G11*35*20*0.000001)</f>
        <v>8.333499999999999</v>
      </c>
      <c r="O11" s="846">
        <f t="shared" ref="O11:O22" si="5">(G11*35*20*0.000001)</f>
        <v>8.333499999999999</v>
      </c>
      <c r="P11" s="846">
        <f t="shared" ref="P11:P22" si="6">(G11*165*20*0.000001)</f>
        <v>39.286499999999997</v>
      </c>
      <c r="Q11" s="807"/>
      <c r="R11" s="807"/>
      <c r="S11" s="851"/>
      <c r="T11" s="11"/>
      <c r="U11" s="11"/>
      <c r="V11" s="11"/>
      <c r="W11" s="11"/>
    </row>
    <row r="12" spans="1:23" ht="24.95" customHeight="1" x14ac:dyDescent="0.2">
      <c r="A12" s="194">
        <v>3</v>
      </c>
      <c r="B12" s="225" t="s">
        <v>394</v>
      </c>
      <c r="C12" s="504">
        <v>19358</v>
      </c>
      <c r="D12" s="504">
        <v>0</v>
      </c>
      <c r="E12" s="504">
        <v>0</v>
      </c>
      <c r="F12" s="504">
        <v>0</v>
      </c>
      <c r="G12" s="505">
        <f t="shared" si="0"/>
        <v>19358</v>
      </c>
      <c r="H12" s="506">
        <v>235</v>
      </c>
      <c r="I12" s="361">
        <f t="shared" si="1"/>
        <v>454.91300000000001</v>
      </c>
      <c r="J12" s="361">
        <f t="shared" si="2"/>
        <v>454.91300000000001</v>
      </c>
      <c r="K12" s="205">
        <v>0</v>
      </c>
      <c r="L12" s="205"/>
      <c r="M12" s="807">
        <f t="shared" si="3"/>
        <v>90.982599999999991</v>
      </c>
      <c r="N12" s="846">
        <f t="shared" si="4"/>
        <v>13.550599999999999</v>
      </c>
      <c r="O12" s="846">
        <f t="shared" si="5"/>
        <v>13.550599999999999</v>
      </c>
      <c r="P12" s="846">
        <f t="shared" si="6"/>
        <v>63.881399999999999</v>
      </c>
      <c r="Q12" s="807"/>
      <c r="R12" s="807"/>
      <c r="S12" s="851"/>
      <c r="T12" s="11"/>
      <c r="U12" s="851"/>
      <c r="V12" s="851"/>
      <c r="W12" s="851"/>
    </row>
    <row r="13" spans="1:23" ht="24.95" customHeight="1" x14ac:dyDescent="0.2">
      <c r="A13" s="194">
        <v>4</v>
      </c>
      <c r="B13" s="225" t="s">
        <v>395</v>
      </c>
      <c r="C13" s="504">
        <v>11619</v>
      </c>
      <c r="D13" s="504">
        <v>0</v>
      </c>
      <c r="E13" s="504">
        <v>0</v>
      </c>
      <c r="F13" s="504">
        <v>0</v>
      </c>
      <c r="G13" s="505">
        <f t="shared" si="0"/>
        <v>11619</v>
      </c>
      <c r="H13" s="506">
        <v>235</v>
      </c>
      <c r="I13" s="361">
        <f t="shared" si="1"/>
        <v>273.04649999999998</v>
      </c>
      <c r="J13" s="361">
        <f t="shared" si="2"/>
        <v>273.04649999999998</v>
      </c>
      <c r="K13" s="205">
        <v>0</v>
      </c>
      <c r="L13" s="205"/>
      <c r="M13" s="807">
        <f t="shared" si="3"/>
        <v>54.609300000000005</v>
      </c>
      <c r="N13" s="846">
        <f t="shared" si="4"/>
        <v>8.1333000000000002</v>
      </c>
      <c r="O13" s="846">
        <f t="shared" si="5"/>
        <v>8.1333000000000002</v>
      </c>
      <c r="P13" s="846">
        <f t="shared" si="6"/>
        <v>38.342700000000001</v>
      </c>
      <c r="Q13" s="807"/>
      <c r="R13" s="807"/>
      <c r="S13" s="851"/>
      <c r="T13" s="11"/>
      <c r="U13" s="11"/>
      <c r="V13" s="11"/>
      <c r="W13" s="11"/>
    </row>
    <row r="14" spans="1:23" ht="24.95" customHeight="1" x14ac:dyDescent="0.2">
      <c r="A14" s="194">
        <v>5</v>
      </c>
      <c r="B14" s="227" t="s">
        <v>396</v>
      </c>
      <c r="C14" s="504">
        <v>33181</v>
      </c>
      <c r="D14" s="504">
        <v>2388</v>
      </c>
      <c r="E14" s="504">
        <v>162</v>
      </c>
      <c r="F14" s="504">
        <v>1283</v>
      </c>
      <c r="G14" s="505">
        <f t="shared" si="0"/>
        <v>37014</v>
      </c>
      <c r="H14" s="506">
        <v>235</v>
      </c>
      <c r="I14" s="361">
        <f t="shared" si="1"/>
        <v>869.82899999999995</v>
      </c>
      <c r="J14" s="361">
        <f t="shared" si="2"/>
        <v>869.82899999999995</v>
      </c>
      <c r="K14" s="205">
        <v>0</v>
      </c>
      <c r="L14" s="205"/>
      <c r="M14" s="807">
        <f t="shared" si="3"/>
        <v>173.9658</v>
      </c>
      <c r="N14" s="846">
        <f t="shared" si="4"/>
        <v>25.909799999999997</v>
      </c>
      <c r="O14" s="846">
        <f t="shared" si="5"/>
        <v>25.909799999999997</v>
      </c>
      <c r="P14" s="846">
        <f t="shared" si="6"/>
        <v>122.14619999999999</v>
      </c>
      <c r="Q14" s="807"/>
      <c r="R14" s="807"/>
      <c r="S14" s="851"/>
      <c r="T14" s="11"/>
      <c r="U14" s="851"/>
      <c r="V14" s="851"/>
      <c r="W14" s="851"/>
    </row>
    <row r="15" spans="1:23" ht="24.95" customHeight="1" x14ac:dyDescent="0.2">
      <c r="A15" s="194">
        <v>6</v>
      </c>
      <c r="B15" s="225" t="s">
        <v>397</v>
      </c>
      <c r="C15" s="504">
        <v>55167</v>
      </c>
      <c r="D15" s="504">
        <v>2144</v>
      </c>
      <c r="E15" s="504">
        <v>474</v>
      </c>
      <c r="F15" s="504">
        <v>11378</v>
      </c>
      <c r="G15" s="505">
        <f t="shared" si="0"/>
        <v>69163</v>
      </c>
      <c r="H15" s="506">
        <v>235</v>
      </c>
      <c r="I15" s="361">
        <f t="shared" si="1"/>
        <v>1625.3305</v>
      </c>
      <c r="J15" s="361">
        <f t="shared" si="2"/>
        <v>1625.3305</v>
      </c>
      <c r="K15" s="205">
        <v>0</v>
      </c>
      <c r="L15" s="205"/>
      <c r="M15" s="807">
        <f t="shared" si="3"/>
        <v>325.06610000000001</v>
      </c>
      <c r="N15" s="846">
        <f t="shared" si="4"/>
        <v>48.414099999999998</v>
      </c>
      <c r="O15" s="846">
        <f t="shared" si="5"/>
        <v>48.414099999999998</v>
      </c>
      <c r="P15" s="846">
        <f t="shared" si="6"/>
        <v>228.2379</v>
      </c>
      <c r="Q15" s="807"/>
      <c r="R15" s="807"/>
      <c r="S15" s="851"/>
      <c r="T15" s="11"/>
      <c r="U15" s="11"/>
      <c r="V15" s="11"/>
      <c r="W15" s="11"/>
    </row>
    <row r="16" spans="1:23" ht="24.95" customHeight="1" x14ac:dyDescent="0.2">
      <c r="A16" s="194">
        <v>7</v>
      </c>
      <c r="B16" s="227" t="s">
        <v>398</v>
      </c>
      <c r="C16" s="504">
        <v>32095</v>
      </c>
      <c r="D16" s="504">
        <v>255</v>
      </c>
      <c r="E16" s="504">
        <v>0</v>
      </c>
      <c r="F16" s="504">
        <v>365</v>
      </c>
      <c r="G16" s="505">
        <f t="shared" si="0"/>
        <v>32715</v>
      </c>
      <c r="H16" s="506">
        <v>235</v>
      </c>
      <c r="I16" s="361">
        <f>J16</f>
        <v>768.80250000000001</v>
      </c>
      <c r="J16" s="361">
        <f>G16*H16*100/1000000</f>
        <v>768.80250000000001</v>
      </c>
      <c r="K16" s="205">
        <v>0</v>
      </c>
      <c r="L16" s="205"/>
      <c r="M16" s="807">
        <f t="shared" si="3"/>
        <v>153.76049999999998</v>
      </c>
      <c r="N16" s="846">
        <f t="shared" si="4"/>
        <v>22.900499999999997</v>
      </c>
      <c r="O16" s="846">
        <f t="shared" si="5"/>
        <v>22.900499999999997</v>
      </c>
      <c r="P16" s="846">
        <f t="shared" si="6"/>
        <v>107.95949999999999</v>
      </c>
      <c r="Q16" s="807"/>
      <c r="R16" s="807"/>
      <c r="S16" s="851"/>
      <c r="T16" s="11"/>
      <c r="U16" s="851"/>
      <c r="V16" s="851"/>
      <c r="W16" s="851"/>
    </row>
    <row r="17" spans="1:23" ht="24.95" customHeight="1" x14ac:dyDescent="0.2">
      <c r="A17" s="194">
        <v>8</v>
      </c>
      <c r="B17" s="225" t="s">
        <v>399</v>
      </c>
      <c r="C17" s="504">
        <v>24178</v>
      </c>
      <c r="D17" s="504">
        <v>29</v>
      </c>
      <c r="E17" s="504">
        <v>0</v>
      </c>
      <c r="F17" s="504">
        <v>0</v>
      </c>
      <c r="G17" s="505">
        <f t="shared" si="0"/>
        <v>24207</v>
      </c>
      <c r="H17" s="506">
        <v>235</v>
      </c>
      <c r="I17" s="361">
        <f t="shared" si="1"/>
        <v>568.86450000000002</v>
      </c>
      <c r="J17" s="361">
        <f t="shared" si="2"/>
        <v>568.86450000000002</v>
      </c>
      <c r="K17" s="205">
        <v>0</v>
      </c>
      <c r="L17" s="205"/>
      <c r="M17" s="807">
        <f t="shared" si="3"/>
        <v>113.77289999999999</v>
      </c>
      <c r="N17" s="846">
        <f t="shared" si="4"/>
        <v>16.944900000000001</v>
      </c>
      <c r="O17" s="846">
        <f t="shared" si="5"/>
        <v>16.944900000000001</v>
      </c>
      <c r="P17" s="846">
        <f t="shared" si="6"/>
        <v>79.883099999999999</v>
      </c>
      <c r="Q17" s="807"/>
      <c r="R17" s="807"/>
      <c r="S17" s="851"/>
      <c r="T17" s="11"/>
      <c r="U17" s="11"/>
      <c r="V17" s="11"/>
      <c r="W17" s="11"/>
    </row>
    <row r="18" spans="1:23" ht="24.95" customHeight="1" x14ac:dyDescent="0.2">
      <c r="A18" s="194">
        <v>9</v>
      </c>
      <c r="B18" s="225" t="s">
        <v>400</v>
      </c>
      <c r="C18" s="504">
        <v>17222</v>
      </c>
      <c r="D18" s="504">
        <v>56</v>
      </c>
      <c r="E18" s="504">
        <v>0</v>
      </c>
      <c r="F18" s="504">
        <v>0</v>
      </c>
      <c r="G18" s="505">
        <f t="shared" si="0"/>
        <v>17278</v>
      </c>
      <c r="H18" s="506">
        <v>235</v>
      </c>
      <c r="I18" s="361">
        <f t="shared" si="1"/>
        <v>406.03300000000002</v>
      </c>
      <c r="J18" s="361">
        <f t="shared" si="2"/>
        <v>406.03300000000002</v>
      </c>
      <c r="K18" s="205">
        <v>0</v>
      </c>
      <c r="L18" s="205"/>
      <c r="M18" s="807">
        <f t="shared" si="3"/>
        <v>81.206599999999995</v>
      </c>
      <c r="N18" s="846">
        <f t="shared" si="4"/>
        <v>12.0946</v>
      </c>
      <c r="O18" s="846">
        <f t="shared" si="5"/>
        <v>12.0946</v>
      </c>
      <c r="P18" s="846">
        <f t="shared" si="6"/>
        <v>57.017399999999995</v>
      </c>
      <c r="Q18" s="807"/>
      <c r="R18" s="807"/>
      <c r="S18" s="851"/>
      <c r="T18" s="11"/>
      <c r="U18" s="851"/>
      <c r="V18" s="851"/>
      <c r="W18" s="851"/>
    </row>
    <row r="19" spans="1:23" ht="24.95" customHeight="1" x14ac:dyDescent="0.2">
      <c r="A19" s="194">
        <v>10</v>
      </c>
      <c r="B19" s="225" t="s">
        <v>401</v>
      </c>
      <c r="C19" s="504">
        <v>12268</v>
      </c>
      <c r="D19" s="504">
        <v>0</v>
      </c>
      <c r="E19" s="504">
        <v>0</v>
      </c>
      <c r="F19" s="504">
        <v>0</v>
      </c>
      <c r="G19" s="505">
        <f t="shared" si="0"/>
        <v>12268</v>
      </c>
      <c r="H19" s="506">
        <v>235</v>
      </c>
      <c r="I19" s="361">
        <f t="shared" si="1"/>
        <v>288.298</v>
      </c>
      <c r="J19" s="361">
        <f t="shared" si="2"/>
        <v>288.298</v>
      </c>
      <c r="K19" s="205">
        <v>0</v>
      </c>
      <c r="L19" s="205"/>
      <c r="M19" s="807">
        <f t="shared" si="3"/>
        <v>57.659599999999998</v>
      </c>
      <c r="N19" s="846">
        <f t="shared" si="4"/>
        <v>8.5876000000000001</v>
      </c>
      <c r="O19" s="846">
        <f t="shared" si="5"/>
        <v>8.5876000000000001</v>
      </c>
      <c r="P19" s="846">
        <f t="shared" si="6"/>
        <v>40.484400000000001</v>
      </c>
      <c r="Q19" s="807"/>
      <c r="R19" s="807"/>
      <c r="S19" s="851"/>
      <c r="T19" s="11"/>
      <c r="U19" s="11"/>
      <c r="V19" s="11"/>
      <c r="W19" s="11"/>
    </row>
    <row r="20" spans="1:23" ht="24.95" customHeight="1" x14ac:dyDescent="0.2">
      <c r="A20" s="194">
        <v>11</v>
      </c>
      <c r="B20" s="225" t="s">
        <v>402</v>
      </c>
      <c r="C20" s="504">
        <v>28370</v>
      </c>
      <c r="D20" s="504">
        <v>0</v>
      </c>
      <c r="E20" s="504">
        <v>0</v>
      </c>
      <c r="F20" s="504">
        <v>0</v>
      </c>
      <c r="G20" s="505">
        <f t="shared" si="0"/>
        <v>28370</v>
      </c>
      <c r="H20" s="506">
        <v>235</v>
      </c>
      <c r="I20" s="361">
        <f t="shared" si="1"/>
        <v>666.69500000000005</v>
      </c>
      <c r="J20" s="361">
        <f t="shared" si="2"/>
        <v>666.69500000000005</v>
      </c>
      <c r="K20" s="205">
        <v>0</v>
      </c>
      <c r="L20" s="205"/>
      <c r="M20" s="807">
        <f t="shared" si="3"/>
        <v>133.339</v>
      </c>
      <c r="N20" s="846">
        <f t="shared" si="4"/>
        <v>19.858999999999998</v>
      </c>
      <c r="O20" s="846">
        <f t="shared" si="5"/>
        <v>19.858999999999998</v>
      </c>
      <c r="P20" s="846">
        <f t="shared" si="6"/>
        <v>93.620999999999995</v>
      </c>
      <c r="Q20" s="807"/>
      <c r="R20" s="807"/>
      <c r="S20" s="851"/>
      <c r="T20" s="11"/>
      <c r="U20" s="851"/>
      <c r="V20" s="851"/>
      <c r="W20" s="851"/>
    </row>
    <row r="21" spans="1:23" ht="24.95" customHeight="1" x14ac:dyDescent="0.2">
      <c r="A21" s="194">
        <v>12</v>
      </c>
      <c r="B21" s="225" t="s">
        <v>403</v>
      </c>
      <c r="C21" s="504">
        <v>53703</v>
      </c>
      <c r="D21" s="504">
        <v>1866</v>
      </c>
      <c r="E21" s="504">
        <v>30</v>
      </c>
      <c r="F21" s="504">
        <v>4806</v>
      </c>
      <c r="G21" s="505">
        <f t="shared" si="0"/>
        <v>60405</v>
      </c>
      <c r="H21" s="506">
        <v>235</v>
      </c>
      <c r="I21" s="361">
        <f t="shared" si="1"/>
        <v>1419.5174999999999</v>
      </c>
      <c r="J21" s="361">
        <f t="shared" si="2"/>
        <v>1419.5174999999999</v>
      </c>
      <c r="K21" s="205">
        <v>0</v>
      </c>
      <c r="L21" s="205"/>
      <c r="M21" s="807">
        <f t="shared" si="3"/>
        <v>283.90350000000001</v>
      </c>
      <c r="N21" s="846">
        <f t="shared" si="4"/>
        <v>42.283499999999997</v>
      </c>
      <c r="O21" s="846">
        <f t="shared" si="5"/>
        <v>42.283499999999997</v>
      </c>
      <c r="P21" s="846">
        <f t="shared" si="6"/>
        <v>199.3365</v>
      </c>
      <c r="Q21" s="807"/>
      <c r="R21" s="807"/>
      <c r="S21" s="851"/>
      <c r="T21" s="11"/>
      <c r="U21" s="11"/>
      <c r="V21" s="11"/>
      <c r="W21" s="11"/>
    </row>
    <row r="22" spans="1:23" ht="24.95" customHeight="1" x14ac:dyDescent="0.2">
      <c r="A22" s="194">
        <v>13</v>
      </c>
      <c r="B22" s="225" t="s">
        <v>404</v>
      </c>
      <c r="C22" s="504">
        <v>17417</v>
      </c>
      <c r="D22" s="504">
        <v>0</v>
      </c>
      <c r="E22" s="504">
        <v>0</v>
      </c>
      <c r="F22" s="504">
        <v>0</v>
      </c>
      <c r="G22" s="505">
        <f t="shared" si="0"/>
        <v>17417</v>
      </c>
      <c r="H22" s="506">
        <v>235</v>
      </c>
      <c r="I22" s="361">
        <f t="shared" si="1"/>
        <v>409.29950000000002</v>
      </c>
      <c r="J22" s="361">
        <f>G22*H22*100/1000000</f>
        <v>409.29950000000002</v>
      </c>
      <c r="K22" s="205">
        <v>0</v>
      </c>
      <c r="L22" s="808"/>
      <c r="M22" s="807">
        <f t="shared" si="3"/>
        <v>81.859899999999996</v>
      </c>
      <c r="N22" s="846">
        <f t="shared" si="4"/>
        <v>12.191899999999999</v>
      </c>
      <c r="O22" s="846">
        <f t="shared" si="5"/>
        <v>12.191899999999999</v>
      </c>
      <c r="P22" s="846">
        <f t="shared" si="6"/>
        <v>57.476099999999995</v>
      </c>
      <c r="Q22" s="807"/>
      <c r="R22" s="807"/>
      <c r="S22" s="851"/>
      <c r="T22" s="11"/>
      <c r="U22" s="851"/>
      <c r="V22" s="851"/>
      <c r="W22" s="851"/>
    </row>
    <row r="23" spans="1:23" s="11" customFormat="1" ht="24.95" customHeight="1" x14ac:dyDescent="0.2">
      <c r="A23" s="1093" t="s">
        <v>18</v>
      </c>
      <c r="B23" s="1084"/>
      <c r="C23" s="507">
        <f>SUM(C10:C22)</f>
        <v>340275</v>
      </c>
      <c r="D23" s="507">
        <f>SUM(D10:D22)</f>
        <v>6914</v>
      </c>
      <c r="E23" s="507">
        <f>SUM(E10:E22)</f>
        <v>666</v>
      </c>
      <c r="F23" s="507">
        <f>SUM(F10:F22)</f>
        <v>17832</v>
      </c>
      <c r="G23" s="507">
        <f>SUM(G10:G22)</f>
        <v>365687</v>
      </c>
      <c r="H23" s="494"/>
      <c r="I23" s="362">
        <f>SUM(I10:I22)</f>
        <v>8593.6444999999985</v>
      </c>
      <c r="J23" s="362">
        <f>SUM(J10:J22)</f>
        <v>8593.6444999999985</v>
      </c>
      <c r="K23" s="197">
        <v>0</v>
      </c>
      <c r="L23" s="197"/>
      <c r="M23" s="809">
        <f>SUM(M10:M22)</f>
        <v>1718.7288999999996</v>
      </c>
      <c r="N23" s="809">
        <f t="shared" ref="N23:Q23" si="7">SUM(N10:N22)</f>
        <v>255.98090000000002</v>
      </c>
      <c r="O23" s="809">
        <f t="shared" si="7"/>
        <v>255.98090000000002</v>
      </c>
      <c r="P23" s="809">
        <f t="shared" si="7"/>
        <v>1206.7671</v>
      </c>
      <c r="Q23" s="809">
        <f t="shared" si="7"/>
        <v>0</v>
      </c>
      <c r="R23" s="362"/>
      <c r="S23" s="851"/>
    </row>
    <row r="24" spans="1:23" x14ac:dyDescent="0.2">
      <c r="A24" s="16"/>
      <c r="B24" s="16"/>
      <c r="C24" s="16"/>
      <c r="D24" s="16"/>
      <c r="E24" s="16"/>
      <c r="F24" s="16"/>
      <c r="G24" s="16"/>
      <c r="H24" s="16"/>
      <c r="S24" s="851"/>
      <c r="T24" s="11"/>
      <c r="U24" s="851"/>
      <c r="V24" s="851"/>
      <c r="W24" s="851"/>
    </row>
    <row r="25" spans="1:23" x14ac:dyDescent="0.2">
      <c r="A25" s="23" t="s">
        <v>7</v>
      </c>
      <c r="B25" s="20"/>
      <c r="C25" s="20"/>
      <c r="D25" s="16"/>
      <c r="E25" s="16"/>
      <c r="F25" s="16"/>
      <c r="H25" s="1022"/>
      <c r="I25" s="1022"/>
      <c r="J25" s="1022"/>
      <c r="K25" s="1022"/>
      <c r="L25" s="1022"/>
      <c r="M25" s="1022"/>
      <c r="N25" s="1022"/>
      <c r="S25" s="11"/>
      <c r="T25" s="11"/>
      <c r="U25" s="11"/>
      <c r="V25" s="11"/>
      <c r="W25" s="11"/>
    </row>
    <row r="26" spans="1:23" x14ac:dyDescent="0.2">
      <c r="A26" s="11" t="s">
        <v>8</v>
      </c>
      <c r="B26" s="11"/>
      <c r="C26" s="11"/>
      <c r="H26" s="1022"/>
      <c r="I26" s="1022"/>
      <c r="J26" s="1022"/>
      <c r="K26" s="1022"/>
      <c r="L26" s="1022"/>
      <c r="M26" s="1022"/>
      <c r="N26" s="1022"/>
    </row>
    <row r="27" spans="1:23" x14ac:dyDescent="0.2">
      <c r="A27" s="11" t="s">
        <v>9</v>
      </c>
      <c r="B27" s="11"/>
      <c r="C27" s="11"/>
      <c r="H27" s="1022"/>
      <c r="I27" s="1022"/>
      <c r="J27" s="1022"/>
      <c r="K27" s="1022"/>
      <c r="L27" s="1022"/>
      <c r="M27" s="1022"/>
      <c r="N27" s="1022"/>
    </row>
    <row r="28" spans="1:23" x14ac:dyDescent="0.2">
      <c r="A28" s="1000"/>
      <c r="B28" s="1000"/>
      <c r="C28" s="1000"/>
      <c r="D28" s="1000"/>
      <c r="K28" s="16"/>
      <c r="L28" s="16"/>
      <c r="M28" s="75"/>
      <c r="N28" s="75"/>
      <c r="O28" s="75"/>
      <c r="P28" s="75"/>
      <c r="Q28" s="75"/>
      <c r="R28" s="75"/>
    </row>
    <row r="29" spans="1:23" x14ac:dyDescent="0.2">
      <c r="A29" s="364"/>
      <c r="B29" s="368"/>
      <c r="C29" s="368"/>
      <c r="D29" s="367"/>
      <c r="E29" s="367"/>
      <c r="F29" s="367"/>
      <c r="G29" s="367"/>
      <c r="H29" s="367"/>
      <c r="I29" s="367"/>
      <c r="J29" s="367"/>
      <c r="K29" s="367"/>
      <c r="L29" s="367"/>
      <c r="M29" s="367"/>
      <c r="N29" s="367"/>
      <c r="O29" s="367"/>
      <c r="P29" s="367"/>
      <c r="Q29" s="367"/>
      <c r="R29" s="367"/>
    </row>
    <row r="30" spans="1:23" x14ac:dyDescent="0.2">
      <c r="A30" s="364"/>
      <c r="B30" s="1386"/>
      <c r="C30" s="1386"/>
      <c r="D30" s="1386"/>
      <c r="E30" s="1386"/>
      <c r="F30" s="370"/>
      <c r="G30" s="367"/>
      <c r="H30" s="367"/>
      <c r="I30" s="367"/>
      <c r="J30" s="367"/>
      <c r="K30" s="367"/>
      <c r="L30" s="367"/>
      <c r="M30" s="367"/>
      <c r="N30" s="367"/>
      <c r="O30" s="367"/>
      <c r="P30" s="367"/>
      <c r="Q30" s="367"/>
      <c r="R30" s="367"/>
    </row>
    <row r="31" spans="1:23" x14ac:dyDescent="0.2">
      <c r="A31" s="368"/>
      <c r="B31" s="1386"/>
      <c r="C31" s="1386"/>
      <c r="D31" s="1386"/>
      <c r="E31" s="1386"/>
      <c r="F31" s="1386"/>
      <c r="G31" s="1386"/>
      <c r="H31" s="1386"/>
      <c r="I31" s="1386"/>
      <c r="J31" s="1386"/>
      <c r="K31" s="1386"/>
      <c r="L31" s="1386"/>
      <c r="M31" s="1386"/>
      <c r="N31" s="1386"/>
      <c r="O31" s="1386"/>
      <c r="P31" s="1386"/>
      <c r="Q31" s="1386"/>
      <c r="R31" s="1386"/>
    </row>
    <row r="32" spans="1:23" x14ac:dyDescent="0.2">
      <c r="A32" s="368"/>
      <c r="B32" s="368"/>
      <c r="C32" s="368"/>
      <c r="D32" s="367"/>
      <c r="E32" s="367"/>
      <c r="F32" s="367"/>
      <c r="G32" s="367"/>
      <c r="H32" s="367"/>
      <c r="I32" s="367"/>
      <c r="J32" s="367"/>
      <c r="K32" s="367"/>
      <c r="L32" s="367"/>
      <c r="M32" s="367"/>
      <c r="N32" s="367"/>
      <c r="O32" s="367"/>
      <c r="P32" s="367"/>
      <c r="Q32" s="367"/>
      <c r="R32" s="367"/>
    </row>
    <row r="33" spans="1:18" x14ac:dyDescent="0.2">
      <c r="A33" s="368"/>
      <c r="B33" s="368"/>
      <c r="C33" s="368"/>
      <c r="D33" s="367"/>
      <c r="E33" s="367"/>
      <c r="F33" s="367"/>
      <c r="G33" s="367"/>
      <c r="H33" s="367"/>
      <c r="I33" s="367"/>
      <c r="J33" s="367"/>
      <c r="K33" s="367"/>
      <c r="L33" s="367"/>
      <c r="M33" s="367"/>
      <c r="N33" s="367"/>
      <c r="O33" s="367"/>
      <c r="P33" s="367"/>
      <c r="Q33" s="367"/>
      <c r="R33" s="367"/>
    </row>
    <row r="34" spans="1:18" x14ac:dyDescent="0.2">
      <c r="A34" s="368"/>
      <c r="B34" s="368"/>
      <c r="C34" s="368"/>
      <c r="D34" s="367"/>
      <c r="E34" s="367"/>
      <c r="F34" s="367"/>
      <c r="G34" s="367"/>
      <c r="H34" s="367"/>
      <c r="I34" s="367"/>
      <c r="J34" s="367"/>
      <c r="K34" s="367"/>
      <c r="L34" s="367"/>
      <c r="M34" s="367"/>
      <c r="N34" s="367"/>
      <c r="O34" s="367"/>
      <c r="P34" s="367"/>
      <c r="Q34" s="367"/>
      <c r="R34" s="367"/>
    </row>
    <row r="35" spans="1:18" x14ac:dyDescent="0.2">
      <c r="A35" s="11"/>
      <c r="B35" s="11"/>
      <c r="C35" s="11"/>
    </row>
    <row r="36" spans="1:18" x14ac:dyDescent="0.2">
      <c r="A36" s="11"/>
      <c r="B36" s="11"/>
      <c r="C36" s="11"/>
      <c r="M36" s="811"/>
    </row>
    <row r="37" spans="1:18" x14ac:dyDescent="0.2">
      <c r="A37" s="11" t="s">
        <v>11</v>
      </c>
      <c r="H37" s="11"/>
      <c r="J37" s="11"/>
      <c r="K37" s="11"/>
      <c r="L37" s="11"/>
      <c r="M37" s="11"/>
      <c r="N37" s="11"/>
      <c r="O37" s="11"/>
      <c r="P37" s="11"/>
      <c r="Q37" s="11"/>
      <c r="R37" s="11"/>
    </row>
    <row r="38" spans="1:18" ht="12.75" customHeight="1" x14ac:dyDescent="0.2">
      <c r="I38" s="11"/>
      <c r="J38" s="1385" t="s">
        <v>13</v>
      </c>
      <c r="K38" s="1385"/>
      <c r="L38" s="1385"/>
      <c r="M38" s="1385"/>
      <c r="N38" s="1385"/>
      <c r="O38" s="1385"/>
      <c r="P38" s="1385"/>
      <c r="Q38" s="1385"/>
      <c r="R38" s="1385"/>
    </row>
    <row r="39" spans="1:18" ht="12.75" customHeight="1" x14ac:dyDescent="0.2">
      <c r="I39" s="1385" t="s">
        <v>88</v>
      </c>
      <c r="J39" s="1385"/>
      <c r="K39" s="1385"/>
      <c r="L39" s="1385"/>
      <c r="M39" s="1385"/>
      <c r="N39" s="1385"/>
      <c r="O39" s="1385"/>
      <c r="P39" s="1385"/>
      <c r="Q39" s="1385"/>
      <c r="R39" s="1385"/>
    </row>
    <row r="40" spans="1:18" x14ac:dyDescent="0.2">
      <c r="A40" s="11"/>
      <c r="B40" s="11"/>
      <c r="J40" s="11"/>
      <c r="K40" s="11"/>
      <c r="L40" s="11"/>
      <c r="M40" s="11"/>
      <c r="N40" s="11"/>
      <c r="O40" s="11"/>
      <c r="P40" s="11"/>
      <c r="Q40" s="11"/>
      <c r="R40" s="11" t="s">
        <v>85</v>
      </c>
    </row>
    <row r="41" spans="1:18" x14ac:dyDescent="0.2">
      <c r="C41" s="202"/>
      <c r="D41" s="202"/>
      <c r="E41" s="202"/>
      <c r="F41" s="202"/>
      <c r="G41" s="202"/>
      <c r="H41" s="141"/>
      <c r="I41" s="141"/>
      <c r="J41" s="141"/>
      <c r="K41" s="141"/>
      <c r="L41" s="141"/>
      <c r="M41" s="141"/>
      <c r="N41" s="141"/>
      <c r="O41" s="141"/>
      <c r="P41" s="141"/>
      <c r="Q41" s="141"/>
      <c r="R41" s="141"/>
    </row>
  </sheetData>
  <mergeCells count="20">
    <mergeCell ref="I39:R39"/>
    <mergeCell ref="J38:R38"/>
    <mergeCell ref="A7:A8"/>
    <mergeCell ref="B7:B8"/>
    <mergeCell ref="C7:G7"/>
    <mergeCell ref="H7:H8"/>
    <mergeCell ref="B31:R31"/>
    <mergeCell ref="H25:N27"/>
    <mergeCell ref="B30:E30"/>
    <mergeCell ref="A28:D28"/>
    <mergeCell ref="A23:B23"/>
    <mergeCell ref="P1:Q1"/>
    <mergeCell ref="G1:I1"/>
    <mergeCell ref="A3:R3"/>
    <mergeCell ref="A4:R5"/>
    <mergeCell ref="I7:L7"/>
    <mergeCell ref="A2:R2"/>
    <mergeCell ref="A6:C6"/>
    <mergeCell ref="K6:R6"/>
    <mergeCell ref="M7:R7"/>
  </mergeCells>
  <phoneticPr fontId="0" type="noConversion"/>
  <printOptions horizontalCentered="1"/>
  <pageMargins left="0.38" right="0.35" top="0.23622047244094491" bottom="0" header="0.31496062992125984" footer="0.31496062992125984"/>
  <pageSetup paperSize="9" scale="78"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00000"/>
    <pageSetUpPr fitToPage="1"/>
  </sheetPr>
  <dimension ref="A2:V42"/>
  <sheetViews>
    <sheetView view="pageBreakPreview" zoomScale="91" zoomScaleSheetLayoutView="91" workbookViewId="0">
      <selection activeCell="H10" sqref="H10:H22"/>
    </sheetView>
  </sheetViews>
  <sheetFormatPr defaultRowHeight="12.75" x14ac:dyDescent="0.2"/>
  <cols>
    <col min="1" max="1" width="6.5703125" style="12" customWidth="1"/>
    <col min="2" max="2" width="17.28515625" style="12" customWidth="1"/>
    <col min="3" max="7" width="11.85546875" style="12" customWidth="1"/>
    <col min="8" max="8" width="11.140625" style="12" customWidth="1"/>
    <col min="9" max="12" width="10" style="12" customWidth="1"/>
    <col min="13" max="18" width="8.5703125" style="12" customWidth="1"/>
    <col min="19" max="16384" width="9.140625" style="12"/>
  </cols>
  <sheetData>
    <row r="2" spans="1:22" x14ac:dyDescent="0.2">
      <c r="G2" s="985"/>
      <c r="H2" s="985"/>
      <c r="I2" s="985"/>
      <c r="P2" s="988" t="s">
        <v>703</v>
      </c>
      <c r="Q2" s="988"/>
    </row>
    <row r="3" spans="1:22" ht="15" x14ac:dyDescent="0.2">
      <c r="A3" s="1080" t="s">
        <v>0</v>
      </c>
      <c r="B3" s="1080"/>
      <c r="C3" s="1080"/>
      <c r="D3" s="1080"/>
      <c r="E3" s="1080"/>
      <c r="F3" s="1080"/>
      <c r="G3" s="1080"/>
      <c r="H3" s="1080"/>
      <c r="I3" s="1080"/>
      <c r="J3" s="1080"/>
      <c r="K3" s="1080"/>
      <c r="L3" s="1080"/>
      <c r="M3" s="1080"/>
      <c r="N3" s="1080"/>
      <c r="O3" s="1080"/>
      <c r="P3" s="1080"/>
      <c r="Q3" s="1080"/>
      <c r="R3" s="1080"/>
    </row>
    <row r="4" spans="1:22" ht="15.75" x14ac:dyDescent="0.25">
      <c r="A4" s="1056" t="s">
        <v>794</v>
      </c>
      <c r="B4" s="1056"/>
      <c r="C4" s="1056"/>
      <c r="D4" s="1056"/>
      <c r="E4" s="1056"/>
      <c r="F4" s="1056"/>
      <c r="G4" s="1056"/>
      <c r="H4" s="1056"/>
      <c r="I4" s="1056"/>
      <c r="J4" s="1056"/>
      <c r="K4" s="1056"/>
      <c r="L4" s="1056"/>
      <c r="M4" s="1056"/>
      <c r="N4" s="1056"/>
      <c r="O4" s="1056"/>
      <c r="P4" s="1056"/>
      <c r="Q4" s="1056"/>
      <c r="R4" s="1056"/>
    </row>
    <row r="5" spans="1:22" s="48" customFormat="1" ht="18" x14ac:dyDescent="0.25">
      <c r="A5" s="1388" t="s">
        <v>752</v>
      </c>
      <c r="B5" s="1389"/>
      <c r="C5" s="1389"/>
      <c r="D5" s="1389"/>
      <c r="E5" s="1389"/>
      <c r="F5" s="1389"/>
      <c r="G5" s="1389"/>
      <c r="H5" s="1389"/>
      <c r="I5" s="1389"/>
      <c r="J5" s="1389"/>
      <c r="K5" s="1389"/>
      <c r="L5" s="1389"/>
      <c r="M5" s="1389"/>
      <c r="N5" s="1389"/>
      <c r="O5" s="1389"/>
      <c r="P5" s="1389"/>
      <c r="Q5" s="1389"/>
      <c r="R5" s="1389"/>
    </row>
    <row r="6" spans="1:22" s="468" customFormat="1" ht="12" x14ac:dyDescent="0.2">
      <c r="A6" s="1163" t="s">
        <v>463</v>
      </c>
      <c r="B6" s="1163"/>
      <c r="C6" s="1163"/>
      <c r="H6" s="508"/>
      <c r="K6" s="1384"/>
      <c r="L6" s="1384"/>
      <c r="M6" s="1384"/>
      <c r="N6" s="1384"/>
      <c r="O6" s="1384"/>
      <c r="P6" s="1384"/>
      <c r="Q6" s="1384"/>
      <c r="R6" s="1384"/>
    </row>
    <row r="7" spans="1:22" ht="30.75" customHeight="1" x14ac:dyDescent="0.2">
      <c r="A7" s="1064" t="s">
        <v>2</v>
      </c>
      <c r="B7" s="1064" t="s">
        <v>3</v>
      </c>
      <c r="C7" s="1090" t="s">
        <v>700</v>
      </c>
      <c r="D7" s="1091"/>
      <c r="E7" s="1091"/>
      <c r="F7" s="1091"/>
      <c r="G7" s="1092"/>
      <c r="H7" s="1145" t="s">
        <v>86</v>
      </c>
      <c r="I7" s="1090" t="s">
        <v>87</v>
      </c>
      <c r="J7" s="1091"/>
      <c r="K7" s="1091"/>
      <c r="L7" s="1092"/>
      <c r="M7" s="1064" t="s">
        <v>885</v>
      </c>
      <c r="N7" s="1064"/>
      <c r="O7" s="1064"/>
      <c r="P7" s="1064"/>
      <c r="Q7" s="1064"/>
      <c r="R7" s="1064"/>
      <c r="V7" s="792" t="s">
        <v>886</v>
      </c>
    </row>
    <row r="8" spans="1:22" ht="44.25" customHeight="1" x14ac:dyDescent="0.2">
      <c r="A8" s="1064"/>
      <c r="B8" s="1064"/>
      <c r="C8" s="195" t="s">
        <v>5</v>
      </c>
      <c r="D8" s="195" t="s">
        <v>6</v>
      </c>
      <c r="E8" s="306" t="s">
        <v>499</v>
      </c>
      <c r="F8" s="200" t="s">
        <v>106</v>
      </c>
      <c r="G8" s="200" t="s">
        <v>251</v>
      </c>
      <c r="H8" s="1304"/>
      <c r="I8" s="196" t="s">
        <v>197</v>
      </c>
      <c r="J8" s="196" t="s">
        <v>121</v>
      </c>
      <c r="K8" s="196" t="s">
        <v>122</v>
      </c>
      <c r="L8" s="306" t="s">
        <v>524</v>
      </c>
      <c r="M8" s="794" t="s">
        <v>879</v>
      </c>
      <c r="N8" s="853" t="s">
        <v>966</v>
      </c>
      <c r="O8" s="853" t="s">
        <v>967</v>
      </c>
      <c r="P8" s="853" t="s">
        <v>968</v>
      </c>
      <c r="Q8" s="794" t="s">
        <v>880</v>
      </c>
      <c r="R8" s="794" t="s">
        <v>881</v>
      </c>
    </row>
    <row r="9" spans="1:22" s="11" customFormat="1" x14ac:dyDescent="0.2">
      <c r="A9" s="195">
        <v>1</v>
      </c>
      <c r="B9" s="195">
        <v>2</v>
      </c>
      <c r="C9" s="195">
        <v>3</v>
      </c>
      <c r="D9" s="195">
        <v>4</v>
      </c>
      <c r="E9" s="195">
        <v>5</v>
      </c>
      <c r="F9" s="195">
        <v>6</v>
      </c>
      <c r="G9" s="195">
        <v>7</v>
      </c>
      <c r="H9" s="195">
        <v>8</v>
      </c>
      <c r="I9" s="195">
        <v>9</v>
      </c>
      <c r="J9" s="195">
        <v>10</v>
      </c>
      <c r="K9" s="195">
        <v>11</v>
      </c>
      <c r="L9" s="195">
        <v>12</v>
      </c>
      <c r="M9" s="790">
        <v>13</v>
      </c>
      <c r="N9" s="790">
        <v>14</v>
      </c>
      <c r="O9" s="790">
        <v>15</v>
      </c>
      <c r="P9" s="790">
        <v>16</v>
      </c>
      <c r="Q9" s="790">
        <v>17</v>
      </c>
      <c r="R9" s="790">
        <v>18</v>
      </c>
    </row>
    <row r="10" spans="1:22" ht="24.95" customHeight="1" x14ac:dyDescent="0.2">
      <c r="A10" s="194">
        <v>1</v>
      </c>
      <c r="B10" s="375" t="s">
        <v>392</v>
      </c>
      <c r="C10" s="504">
        <v>18455</v>
      </c>
      <c r="D10" s="504">
        <v>2559</v>
      </c>
      <c r="E10" s="504">
        <v>0</v>
      </c>
      <c r="F10" s="504">
        <v>0</v>
      </c>
      <c r="G10" s="504">
        <f>C10+D10+E10+F10</f>
        <v>21014</v>
      </c>
      <c r="H10" s="506">
        <v>235</v>
      </c>
      <c r="I10" s="361">
        <f>J10+K10</f>
        <v>740.74350000000004</v>
      </c>
      <c r="J10" s="361">
        <f>G10*H10*150/1000000</f>
        <v>740.74350000000004</v>
      </c>
      <c r="K10" s="205">
        <v>0</v>
      </c>
      <c r="L10" s="205"/>
      <c r="M10" s="807">
        <f>N10+O10+P10+Q10+R10</f>
        <v>148.14869999999999</v>
      </c>
      <c r="N10" s="807">
        <f>(G10*35*30*0.000001)</f>
        <v>22.064699999999998</v>
      </c>
      <c r="O10" s="807">
        <f>(G10*35*30*0.000001)</f>
        <v>22.064699999999998</v>
      </c>
      <c r="P10" s="807">
        <f>(G10*165*30*0.000001)</f>
        <v>104.0193</v>
      </c>
      <c r="Q10" s="807"/>
      <c r="R10" s="807"/>
    </row>
    <row r="11" spans="1:22" ht="24.95" customHeight="1" x14ac:dyDescent="0.2">
      <c r="A11" s="194">
        <v>2</v>
      </c>
      <c r="B11" s="375" t="s">
        <v>393</v>
      </c>
      <c r="C11" s="504">
        <v>8863</v>
      </c>
      <c r="D11" s="504">
        <v>968</v>
      </c>
      <c r="E11" s="504">
        <v>0</v>
      </c>
      <c r="F11" s="504">
        <v>0</v>
      </c>
      <c r="G11" s="504">
        <f t="shared" ref="G11:G22" si="0">C11+D11+E11+F11</f>
        <v>9831</v>
      </c>
      <c r="H11" s="506">
        <v>235</v>
      </c>
      <c r="I11" s="361">
        <f t="shared" ref="I11:I22" si="1">J11+K11</f>
        <v>346.54275000000001</v>
      </c>
      <c r="J11" s="361">
        <f t="shared" ref="J11:J22" si="2">G11*H11*150/1000000</f>
        <v>346.54275000000001</v>
      </c>
      <c r="K11" s="205">
        <v>0</v>
      </c>
      <c r="L11" s="205"/>
      <c r="M11" s="807">
        <f t="shared" ref="M11:M22" si="3">N11+O11+P11+Q11+R11</f>
        <v>69.308549999999997</v>
      </c>
      <c r="N11" s="846">
        <f>(G11*35*30*0.000001)</f>
        <v>10.32255</v>
      </c>
      <c r="O11" s="846">
        <f>(G11*35*30*0.000001)</f>
        <v>10.32255</v>
      </c>
      <c r="P11" s="846">
        <f>(G11*165*30*0.000001)</f>
        <v>48.663449999999997</v>
      </c>
      <c r="Q11" s="807"/>
      <c r="R11" s="807"/>
    </row>
    <row r="12" spans="1:22" ht="24.95" customHeight="1" x14ac:dyDescent="0.2">
      <c r="A12" s="194">
        <v>3</v>
      </c>
      <c r="B12" s="375" t="s">
        <v>394</v>
      </c>
      <c r="C12" s="504">
        <v>13570</v>
      </c>
      <c r="D12" s="504">
        <v>890</v>
      </c>
      <c r="E12" s="504">
        <v>0</v>
      </c>
      <c r="F12" s="504">
        <v>0</v>
      </c>
      <c r="G12" s="504">
        <f t="shared" si="0"/>
        <v>14460</v>
      </c>
      <c r="H12" s="506">
        <v>235</v>
      </c>
      <c r="I12" s="361">
        <f t="shared" si="1"/>
        <v>509.71499999999997</v>
      </c>
      <c r="J12" s="361">
        <f t="shared" si="2"/>
        <v>509.71499999999997</v>
      </c>
      <c r="K12" s="205">
        <v>0</v>
      </c>
      <c r="L12" s="205"/>
      <c r="M12" s="807">
        <f t="shared" si="3"/>
        <v>101.943</v>
      </c>
      <c r="N12" s="846">
        <f t="shared" ref="N12:N22" si="4">(G12*35*30*0.000001)</f>
        <v>15.183</v>
      </c>
      <c r="O12" s="846">
        <f t="shared" ref="O12:O22" si="5">(G12*35*30*0.000001)</f>
        <v>15.183</v>
      </c>
      <c r="P12" s="846">
        <f t="shared" ref="P12:P22" si="6">(G12*165*30*0.000001)</f>
        <v>71.576999999999998</v>
      </c>
      <c r="Q12" s="807"/>
      <c r="R12" s="807"/>
    </row>
    <row r="13" spans="1:22" ht="24.95" customHeight="1" x14ac:dyDescent="0.2">
      <c r="A13" s="194">
        <v>4</v>
      </c>
      <c r="B13" s="375" t="s">
        <v>395</v>
      </c>
      <c r="C13" s="504">
        <v>8446</v>
      </c>
      <c r="D13" s="504">
        <v>781</v>
      </c>
      <c r="E13" s="504">
        <v>0</v>
      </c>
      <c r="F13" s="504">
        <v>0</v>
      </c>
      <c r="G13" s="504">
        <f t="shared" si="0"/>
        <v>9227</v>
      </c>
      <c r="H13" s="506">
        <v>235</v>
      </c>
      <c r="I13" s="361">
        <f t="shared" si="1"/>
        <v>325.25175000000002</v>
      </c>
      <c r="J13" s="361">
        <f t="shared" si="2"/>
        <v>325.25175000000002</v>
      </c>
      <c r="K13" s="205">
        <v>0</v>
      </c>
      <c r="L13" s="205"/>
      <c r="M13" s="807">
        <f t="shared" si="3"/>
        <v>65.050349999999995</v>
      </c>
      <c r="N13" s="846">
        <f t="shared" si="4"/>
        <v>9.6883499999999998</v>
      </c>
      <c r="O13" s="846">
        <f t="shared" si="5"/>
        <v>9.6883499999999998</v>
      </c>
      <c r="P13" s="846">
        <f t="shared" si="6"/>
        <v>45.673649999999995</v>
      </c>
      <c r="Q13" s="807"/>
      <c r="R13" s="807"/>
    </row>
    <row r="14" spans="1:22" ht="24.95" customHeight="1" x14ac:dyDescent="0.2">
      <c r="A14" s="194">
        <v>5</v>
      </c>
      <c r="B14" s="376" t="s">
        <v>396</v>
      </c>
      <c r="C14" s="504">
        <v>18609</v>
      </c>
      <c r="D14" s="504">
        <v>7179</v>
      </c>
      <c r="E14" s="504">
        <v>0</v>
      </c>
      <c r="F14" s="504">
        <v>194</v>
      </c>
      <c r="G14" s="504">
        <f t="shared" si="0"/>
        <v>25982</v>
      </c>
      <c r="H14" s="506">
        <v>235</v>
      </c>
      <c r="I14" s="361">
        <f t="shared" si="1"/>
        <v>915.8655</v>
      </c>
      <c r="J14" s="361">
        <f t="shared" si="2"/>
        <v>915.8655</v>
      </c>
      <c r="K14" s="205">
        <v>0</v>
      </c>
      <c r="L14" s="205"/>
      <c r="M14" s="807">
        <f t="shared" si="3"/>
        <v>183.17309999999998</v>
      </c>
      <c r="N14" s="846">
        <f t="shared" si="4"/>
        <v>27.281099999999999</v>
      </c>
      <c r="O14" s="846">
        <f t="shared" si="5"/>
        <v>27.281099999999999</v>
      </c>
      <c r="P14" s="846">
        <f t="shared" si="6"/>
        <v>128.61089999999999</v>
      </c>
      <c r="Q14" s="807"/>
      <c r="R14" s="807"/>
    </row>
    <row r="15" spans="1:22" ht="24.95" customHeight="1" x14ac:dyDescent="0.2">
      <c r="A15" s="194">
        <v>6</v>
      </c>
      <c r="B15" s="375" t="s">
        <v>397</v>
      </c>
      <c r="C15" s="504">
        <v>20866</v>
      </c>
      <c r="D15" s="504">
        <v>11539</v>
      </c>
      <c r="E15" s="504">
        <v>0</v>
      </c>
      <c r="F15" s="504">
        <v>1402</v>
      </c>
      <c r="G15" s="504">
        <f t="shared" si="0"/>
        <v>33807</v>
      </c>
      <c r="H15" s="506">
        <v>235</v>
      </c>
      <c r="I15" s="361">
        <f>J15+K15</f>
        <v>1191.6967500000001</v>
      </c>
      <c r="J15" s="361">
        <f>G15*H15*150/1000000</f>
        <v>1191.6967500000001</v>
      </c>
      <c r="K15" s="205">
        <v>0</v>
      </c>
      <c r="L15" s="205"/>
      <c r="M15" s="807">
        <f t="shared" si="3"/>
        <v>238.33935</v>
      </c>
      <c r="N15" s="846">
        <f t="shared" si="4"/>
        <v>35.497349999999997</v>
      </c>
      <c r="O15" s="846">
        <f t="shared" si="5"/>
        <v>35.497349999999997</v>
      </c>
      <c r="P15" s="846">
        <f t="shared" si="6"/>
        <v>167.34465</v>
      </c>
      <c r="Q15" s="807"/>
      <c r="R15" s="807"/>
    </row>
    <row r="16" spans="1:22" ht="24.95" customHeight="1" x14ac:dyDescent="0.2">
      <c r="A16" s="194">
        <v>7</v>
      </c>
      <c r="B16" s="376" t="s">
        <v>398</v>
      </c>
      <c r="C16" s="504">
        <v>22108</v>
      </c>
      <c r="D16" s="504">
        <v>4049</v>
      </c>
      <c r="E16" s="504">
        <v>0</v>
      </c>
      <c r="F16" s="504">
        <v>86</v>
      </c>
      <c r="G16" s="504">
        <f t="shared" si="0"/>
        <v>26243</v>
      </c>
      <c r="H16" s="506">
        <v>235</v>
      </c>
      <c r="I16" s="361">
        <f t="shared" si="1"/>
        <v>925.06574999999998</v>
      </c>
      <c r="J16" s="361">
        <f>G16*H16*150/1000000</f>
        <v>925.06574999999998</v>
      </c>
      <c r="K16" s="205">
        <v>0</v>
      </c>
      <c r="L16" s="205"/>
      <c r="M16" s="807">
        <f t="shared" si="3"/>
        <v>185.01315</v>
      </c>
      <c r="N16" s="846">
        <f t="shared" si="4"/>
        <v>27.555149999999998</v>
      </c>
      <c r="O16" s="846">
        <f t="shared" si="5"/>
        <v>27.555149999999998</v>
      </c>
      <c r="P16" s="846">
        <f t="shared" si="6"/>
        <v>129.90285</v>
      </c>
      <c r="Q16" s="807"/>
      <c r="R16" s="807"/>
    </row>
    <row r="17" spans="1:19" ht="24.95" customHeight="1" x14ac:dyDescent="0.2">
      <c r="A17" s="194">
        <v>8</v>
      </c>
      <c r="B17" s="375" t="s">
        <v>399</v>
      </c>
      <c r="C17" s="504">
        <v>17298</v>
      </c>
      <c r="D17" s="504">
        <v>3697</v>
      </c>
      <c r="E17" s="504">
        <v>0</v>
      </c>
      <c r="F17" s="504">
        <v>0</v>
      </c>
      <c r="G17" s="504">
        <f t="shared" si="0"/>
        <v>20995</v>
      </c>
      <c r="H17" s="506">
        <v>235</v>
      </c>
      <c r="I17" s="361">
        <f t="shared" si="1"/>
        <v>740.07375000000002</v>
      </c>
      <c r="J17" s="361">
        <f t="shared" si="2"/>
        <v>740.07375000000002</v>
      </c>
      <c r="K17" s="205">
        <v>0</v>
      </c>
      <c r="L17" s="205"/>
      <c r="M17" s="807">
        <f t="shared" si="3"/>
        <v>148.01474999999999</v>
      </c>
      <c r="N17" s="846">
        <f t="shared" si="4"/>
        <v>22.044750000000001</v>
      </c>
      <c r="O17" s="846">
        <f t="shared" si="5"/>
        <v>22.044750000000001</v>
      </c>
      <c r="P17" s="846">
        <f t="shared" si="6"/>
        <v>103.92524999999999</v>
      </c>
      <c r="Q17" s="807"/>
      <c r="R17" s="807"/>
      <c r="S17" s="811"/>
    </row>
    <row r="18" spans="1:19" ht="24.95" customHeight="1" x14ac:dyDescent="0.2">
      <c r="A18" s="194">
        <v>9</v>
      </c>
      <c r="B18" s="375" t="s">
        <v>400</v>
      </c>
      <c r="C18" s="504">
        <v>14277</v>
      </c>
      <c r="D18" s="504">
        <v>409</v>
      </c>
      <c r="E18" s="504">
        <v>0</v>
      </c>
      <c r="F18" s="504">
        <v>0</v>
      </c>
      <c r="G18" s="504">
        <f t="shared" si="0"/>
        <v>14686</v>
      </c>
      <c r="H18" s="506">
        <v>235</v>
      </c>
      <c r="I18" s="361">
        <f t="shared" si="1"/>
        <v>517.68150000000003</v>
      </c>
      <c r="J18" s="361">
        <f t="shared" si="2"/>
        <v>517.68150000000003</v>
      </c>
      <c r="K18" s="205">
        <v>0</v>
      </c>
      <c r="L18" s="205"/>
      <c r="M18" s="807">
        <f t="shared" si="3"/>
        <v>103.5363</v>
      </c>
      <c r="N18" s="846">
        <f t="shared" si="4"/>
        <v>15.420299999999999</v>
      </c>
      <c r="O18" s="846">
        <f t="shared" si="5"/>
        <v>15.420299999999999</v>
      </c>
      <c r="P18" s="846">
        <f t="shared" si="6"/>
        <v>72.695700000000002</v>
      </c>
      <c r="Q18" s="807"/>
      <c r="R18" s="807"/>
      <c r="S18" s="811"/>
    </row>
    <row r="19" spans="1:19" ht="24.95" customHeight="1" x14ac:dyDescent="0.2">
      <c r="A19" s="194">
        <v>10</v>
      </c>
      <c r="B19" s="375" t="s">
        <v>401</v>
      </c>
      <c r="C19" s="504">
        <v>9063</v>
      </c>
      <c r="D19" s="504">
        <v>1778</v>
      </c>
      <c r="E19" s="504">
        <v>0</v>
      </c>
      <c r="F19" s="504">
        <v>0</v>
      </c>
      <c r="G19" s="504">
        <f t="shared" si="0"/>
        <v>10841</v>
      </c>
      <c r="H19" s="506">
        <v>235</v>
      </c>
      <c r="I19" s="361">
        <f t="shared" si="1"/>
        <v>382.14524999999998</v>
      </c>
      <c r="J19" s="361">
        <f t="shared" si="2"/>
        <v>382.14524999999998</v>
      </c>
      <c r="K19" s="205">
        <v>0</v>
      </c>
      <c r="L19" s="205"/>
      <c r="M19" s="807">
        <f t="shared" si="3"/>
        <v>76.429049999999989</v>
      </c>
      <c r="N19" s="846">
        <f t="shared" si="4"/>
        <v>11.383049999999999</v>
      </c>
      <c r="O19" s="846">
        <f t="shared" si="5"/>
        <v>11.383049999999999</v>
      </c>
      <c r="P19" s="846">
        <f t="shared" si="6"/>
        <v>53.662949999999995</v>
      </c>
      <c r="Q19" s="807"/>
      <c r="R19" s="807"/>
    </row>
    <row r="20" spans="1:19" ht="24.95" customHeight="1" x14ac:dyDescent="0.2">
      <c r="A20" s="194">
        <v>11</v>
      </c>
      <c r="B20" s="375" t="s">
        <v>402</v>
      </c>
      <c r="C20" s="504">
        <v>22012</v>
      </c>
      <c r="D20" s="504">
        <v>2325</v>
      </c>
      <c r="E20" s="504">
        <v>0</v>
      </c>
      <c r="F20" s="504">
        <v>0</v>
      </c>
      <c r="G20" s="504">
        <f t="shared" si="0"/>
        <v>24337</v>
      </c>
      <c r="H20" s="506">
        <v>235</v>
      </c>
      <c r="I20" s="361">
        <f t="shared" si="1"/>
        <v>857.87924999999996</v>
      </c>
      <c r="J20" s="361">
        <f t="shared" si="2"/>
        <v>857.87924999999996</v>
      </c>
      <c r="K20" s="205">
        <v>0</v>
      </c>
      <c r="L20" s="205"/>
      <c r="M20" s="807">
        <f t="shared" si="3"/>
        <v>171.57585</v>
      </c>
      <c r="N20" s="846">
        <f t="shared" si="4"/>
        <v>25.553849999999997</v>
      </c>
      <c r="O20" s="846">
        <f t="shared" si="5"/>
        <v>25.553849999999997</v>
      </c>
      <c r="P20" s="846">
        <f t="shared" si="6"/>
        <v>120.46814999999999</v>
      </c>
      <c r="Q20" s="807"/>
      <c r="R20" s="807"/>
    </row>
    <row r="21" spans="1:19" ht="24.95" customHeight="1" x14ac:dyDescent="0.2">
      <c r="A21" s="194">
        <v>12</v>
      </c>
      <c r="B21" s="375" t="s">
        <v>403</v>
      </c>
      <c r="C21" s="504">
        <v>26560</v>
      </c>
      <c r="D21" s="504">
        <v>8732</v>
      </c>
      <c r="E21" s="504">
        <v>0</v>
      </c>
      <c r="F21" s="504">
        <v>1643</v>
      </c>
      <c r="G21" s="504">
        <f t="shared" si="0"/>
        <v>36935</v>
      </c>
      <c r="H21" s="506">
        <v>235</v>
      </c>
      <c r="I21" s="361">
        <f t="shared" si="1"/>
        <v>1301.95875</v>
      </c>
      <c r="J21" s="361">
        <f t="shared" si="2"/>
        <v>1301.95875</v>
      </c>
      <c r="K21" s="205">
        <v>0</v>
      </c>
      <c r="L21" s="205"/>
      <c r="M21" s="807">
        <f t="shared" si="3"/>
        <v>260.39175</v>
      </c>
      <c r="N21" s="846">
        <f t="shared" si="4"/>
        <v>38.781749999999995</v>
      </c>
      <c r="O21" s="846">
        <f t="shared" si="5"/>
        <v>38.781749999999995</v>
      </c>
      <c r="P21" s="846">
        <f t="shared" si="6"/>
        <v>182.82825</v>
      </c>
      <c r="Q21" s="807"/>
      <c r="R21" s="807"/>
    </row>
    <row r="22" spans="1:19" ht="24.95" customHeight="1" x14ac:dyDescent="0.2">
      <c r="A22" s="194">
        <v>13</v>
      </c>
      <c r="B22" s="375" t="s">
        <v>404</v>
      </c>
      <c r="C22" s="504">
        <v>11300</v>
      </c>
      <c r="D22" s="504">
        <v>208</v>
      </c>
      <c r="E22" s="504">
        <v>0</v>
      </c>
      <c r="F22" s="504">
        <v>0</v>
      </c>
      <c r="G22" s="504">
        <f t="shared" si="0"/>
        <v>11508</v>
      </c>
      <c r="H22" s="506">
        <v>235</v>
      </c>
      <c r="I22" s="361">
        <f t="shared" si="1"/>
        <v>405.65699999999998</v>
      </c>
      <c r="J22" s="361">
        <f t="shared" si="2"/>
        <v>405.65699999999998</v>
      </c>
      <c r="K22" s="205">
        <v>0</v>
      </c>
      <c r="L22" s="205"/>
      <c r="M22" s="807">
        <f t="shared" si="3"/>
        <v>81.131399999999999</v>
      </c>
      <c r="N22" s="846">
        <f t="shared" si="4"/>
        <v>12.083399999999999</v>
      </c>
      <c r="O22" s="846">
        <f t="shared" si="5"/>
        <v>12.083399999999999</v>
      </c>
      <c r="P22" s="846">
        <f t="shared" si="6"/>
        <v>56.964599999999997</v>
      </c>
      <c r="Q22" s="807"/>
      <c r="R22" s="807"/>
    </row>
    <row r="23" spans="1:19" s="11" customFormat="1" ht="24.95" customHeight="1" x14ac:dyDescent="0.2">
      <c r="A23" s="194" t="s">
        <v>18</v>
      </c>
      <c r="B23" s="194"/>
      <c r="C23" s="507">
        <f>SUM(C10:C22)</f>
        <v>211427</v>
      </c>
      <c r="D23" s="507">
        <f>SUM(D10:D22)</f>
        <v>45114</v>
      </c>
      <c r="E23" s="507">
        <f>SUM(E10:E22)</f>
        <v>0</v>
      </c>
      <c r="F23" s="507">
        <f>SUM(F10:F22)</f>
        <v>3325</v>
      </c>
      <c r="G23" s="507">
        <f>SUM(G10:G22)</f>
        <v>259866</v>
      </c>
      <c r="H23" s="494"/>
      <c r="I23" s="362">
        <f>SUM(I10:I22)</f>
        <v>9160.2764999999999</v>
      </c>
      <c r="J23" s="362">
        <f>SUM(J10:J22)</f>
        <v>9160.2764999999999</v>
      </c>
      <c r="K23" s="197"/>
      <c r="L23" s="197"/>
      <c r="M23" s="809">
        <f>SUM(M10:M22)</f>
        <v>1832.0552999999998</v>
      </c>
      <c r="N23" s="809">
        <f t="shared" ref="N23:Q23" si="7">SUM(N10:N22)</f>
        <v>272.85929999999996</v>
      </c>
      <c r="O23" s="809">
        <f t="shared" si="7"/>
        <v>272.85929999999996</v>
      </c>
      <c r="P23" s="809">
        <f t="shared" si="7"/>
        <v>1286.3367000000001</v>
      </c>
      <c r="Q23" s="809">
        <f t="shared" si="7"/>
        <v>0</v>
      </c>
      <c r="R23" s="809"/>
    </row>
    <row r="24" spans="1:19" x14ac:dyDescent="0.2">
      <c r="A24" s="16"/>
      <c r="B24" s="16"/>
      <c r="C24" s="16"/>
      <c r="D24" s="16"/>
      <c r="E24" s="16"/>
      <c r="F24" s="16"/>
      <c r="G24" s="16"/>
      <c r="H24" s="16"/>
    </row>
    <row r="25" spans="1:19" x14ac:dyDescent="0.2">
      <c r="A25" s="364" t="s">
        <v>7</v>
      </c>
      <c r="B25" s="365"/>
      <c r="C25" s="365"/>
      <c r="D25" s="366"/>
      <c r="E25" s="366"/>
      <c r="F25" s="366"/>
      <c r="G25" s="366"/>
      <c r="H25" s="366"/>
      <c r="I25" s="367"/>
      <c r="J25" s="367"/>
      <c r="K25" s="367"/>
      <c r="L25" s="367"/>
      <c r="M25" s="367"/>
      <c r="N25" s="367"/>
      <c r="O25" s="367"/>
      <c r="P25" s="367"/>
      <c r="Q25" s="367"/>
      <c r="R25" s="367"/>
    </row>
    <row r="26" spans="1:19" ht="12" customHeight="1" x14ac:dyDescent="0.2">
      <c r="A26" s="368" t="s">
        <v>8</v>
      </c>
      <c r="B26" s="368"/>
      <c r="C26" s="368"/>
      <c r="D26" s="367"/>
      <c r="E26" s="367"/>
      <c r="F26" s="367"/>
      <c r="G26" s="367"/>
      <c r="H26" s="367"/>
      <c r="I26" s="367"/>
      <c r="J26" s="367"/>
      <c r="K26" s="367"/>
      <c r="L26" s="367"/>
      <c r="M26" s="367"/>
      <c r="N26" s="367"/>
      <c r="O26" s="367"/>
      <c r="P26" s="367"/>
      <c r="Q26" s="367"/>
      <c r="R26" s="367"/>
    </row>
    <row r="27" spans="1:19" x14ac:dyDescent="0.2">
      <c r="A27" s="368" t="s">
        <v>9</v>
      </c>
      <c r="B27" s="368"/>
      <c r="C27" s="368"/>
      <c r="D27" s="367"/>
      <c r="E27" s="367"/>
      <c r="F27" s="367"/>
      <c r="G27" s="367"/>
      <c r="H27" s="367"/>
      <c r="I27" s="367"/>
      <c r="J27" s="367"/>
      <c r="K27" s="367"/>
      <c r="L27" s="367"/>
      <c r="M27" s="367"/>
      <c r="N27" s="367"/>
      <c r="O27" s="367"/>
      <c r="P27" s="367"/>
      <c r="Q27" s="367"/>
      <c r="R27" s="367"/>
    </row>
    <row r="28" spans="1:19" x14ac:dyDescent="0.2">
      <c r="A28" s="1386" t="s">
        <v>237</v>
      </c>
      <c r="B28" s="1386"/>
      <c r="C28" s="1386"/>
      <c r="D28" s="1386"/>
      <c r="E28" s="367"/>
      <c r="F28" s="367"/>
      <c r="G28" s="367">
        <v>211072</v>
      </c>
      <c r="H28" s="367"/>
      <c r="I28" s="367"/>
      <c r="J28" s="367"/>
      <c r="K28" s="367"/>
      <c r="L28" s="366"/>
      <c r="M28" s="369"/>
      <c r="N28" s="369"/>
      <c r="O28" s="369"/>
      <c r="P28" s="369"/>
      <c r="Q28" s="369"/>
      <c r="R28" s="369"/>
    </row>
    <row r="29" spans="1:19" x14ac:dyDescent="0.2">
      <c r="A29" s="364"/>
      <c r="B29" s="368"/>
      <c r="C29" s="368"/>
      <c r="D29" s="367"/>
      <c r="E29" s="367"/>
      <c r="F29" s="367"/>
      <c r="G29" s="367">
        <v>355</v>
      </c>
      <c r="H29" s="367"/>
      <c r="I29" s="367"/>
      <c r="J29" s="367"/>
      <c r="K29" s="367"/>
      <c r="L29" s="367"/>
      <c r="M29" s="367"/>
      <c r="N29" s="367"/>
      <c r="O29" s="367"/>
      <c r="P29" s="367"/>
      <c r="Q29" s="367"/>
      <c r="R29" s="367"/>
    </row>
    <row r="30" spans="1:19" x14ac:dyDescent="0.2">
      <c r="A30" s="364"/>
      <c r="B30" s="1386"/>
      <c r="C30" s="1386"/>
      <c r="D30" s="1386"/>
      <c r="E30" s="1386"/>
      <c r="F30" s="370"/>
      <c r="G30" s="367"/>
      <c r="H30" s="367"/>
      <c r="I30" s="367"/>
      <c r="J30" s="367"/>
      <c r="K30" s="367"/>
      <c r="L30" s="367"/>
      <c r="M30" s="367"/>
      <c r="N30" s="367"/>
      <c r="O30" s="367"/>
      <c r="P30" s="367"/>
      <c r="Q30" s="367"/>
      <c r="R30" s="367"/>
    </row>
    <row r="31" spans="1:19" x14ac:dyDescent="0.2">
      <c r="A31" s="368"/>
      <c r="B31" s="1386"/>
      <c r="C31" s="1386"/>
      <c r="D31" s="1386"/>
      <c r="E31" s="1386"/>
      <c r="F31" s="370"/>
      <c r="G31" s="367"/>
      <c r="H31" s="367"/>
      <c r="I31" s="367"/>
      <c r="J31" s="367"/>
      <c r="K31" s="367"/>
      <c r="L31" s="367"/>
      <c r="M31" s="367"/>
      <c r="N31" s="367"/>
      <c r="O31" s="367"/>
      <c r="P31" s="367"/>
      <c r="Q31" s="367"/>
      <c r="R31" s="367"/>
    </row>
    <row r="32" spans="1:19" x14ac:dyDescent="0.2">
      <c r="A32" s="368"/>
      <c r="B32" s="1386"/>
      <c r="C32" s="1386"/>
      <c r="D32" s="1386"/>
      <c r="E32" s="1386"/>
      <c r="F32" s="1386"/>
      <c r="G32" s="1386"/>
      <c r="H32" s="1386"/>
      <c r="I32" s="1386"/>
      <c r="J32" s="1386"/>
      <c r="K32" s="1386"/>
      <c r="L32" s="1386"/>
      <c r="M32" s="1386"/>
      <c r="N32" s="1386"/>
      <c r="O32" s="1386"/>
      <c r="P32" s="1386"/>
      <c r="Q32" s="1386"/>
      <c r="R32" s="1386"/>
    </row>
    <row r="33" spans="1:18" x14ac:dyDescent="0.2">
      <c r="A33" s="368"/>
      <c r="B33" s="368"/>
      <c r="C33" s="368"/>
      <c r="D33" s="367"/>
      <c r="E33" s="367"/>
      <c r="F33" s="367"/>
      <c r="G33" s="367"/>
      <c r="H33" s="367"/>
      <c r="I33" s="367"/>
      <c r="J33" s="367"/>
      <c r="K33" s="367"/>
      <c r="L33" s="367"/>
      <c r="M33" s="367"/>
      <c r="N33" s="367"/>
      <c r="O33" s="367"/>
      <c r="P33" s="367"/>
      <c r="Q33" s="367"/>
      <c r="R33" s="367"/>
    </row>
    <row r="34" spans="1:18" x14ac:dyDescent="0.2">
      <c r="A34" s="368"/>
      <c r="B34" s="368"/>
      <c r="C34" s="368"/>
      <c r="D34" s="367"/>
      <c r="E34" s="367"/>
      <c r="F34" s="367"/>
      <c r="G34" s="367"/>
      <c r="H34" s="367"/>
      <c r="I34" s="367"/>
      <c r="J34" s="367"/>
      <c r="K34" s="367"/>
      <c r="L34" s="367"/>
      <c r="M34" s="367"/>
      <c r="N34" s="367"/>
      <c r="O34" s="367"/>
      <c r="P34" s="367"/>
      <c r="Q34" s="367"/>
      <c r="R34" s="367"/>
    </row>
    <row r="35" spans="1:18" x14ac:dyDescent="0.2">
      <c r="A35" s="11"/>
      <c r="B35" s="21"/>
      <c r="C35" s="21"/>
      <c r="D35" s="21"/>
      <c r="E35" s="21"/>
      <c r="F35" s="21"/>
    </row>
    <row r="36" spans="1:18" ht="15" customHeight="1" x14ac:dyDescent="0.2">
      <c r="A36" s="11"/>
      <c r="B36" s="21"/>
      <c r="C36" s="21"/>
      <c r="D36" s="21"/>
      <c r="E36" s="21"/>
      <c r="F36" s="21"/>
    </row>
    <row r="37" spans="1:18" s="38" customFormat="1" ht="15" customHeight="1" x14ac:dyDescent="0.25">
      <c r="A37" s="39" t="s">
        <v>11</v>
      </c>
      <c r="H37" s="39"/>
      <c r="J37" s="39"/>
      <c r="K37" s="39"/>
      <c r="L37" s="39"/>
      <c r="M37" s="39"/>
      <c r="N37" s="39"/>
      <c r="O37" s="39"/>
      <c r="P37" s="39"/>
      <c r="Q37" s="39"/>
      <c r="R37" s="39"/>
    </row>
    <row r="38" spans="1:18" s="38" customFormat="1" ht="15" customHeight="1" x14ac:dyDescent="0.25">
      <c r="I38" s="39"/>
      <c r="J38" s="1387" t="s">
        <v>13</v>
      </c>
      <c r="K38" s="1387"/>
      <c r="L38" s="1387"/>
      <c r="M38" s="1387"/>
      <c r="N38" s="1387"/>
      <c r="O38" s="1387"/>
      <c r="P38" s="1387"/>
      <c r="Q38" s="1387"/>
      <c r="R38" s="1387"/>
    </row>
    <row r="39" spans="1:18" s="38" customFormat="1" ht="15" customHeight="1" x14ac:dyDescent="0.25">
      <c r="I39" s="1387" t="s">
        <v>88</v>
      </c>
      <c r="J39" s="1387"/>
      <c r="K39" s="1387"/>
      <c r="L39" s="1387"/>
      <c r="M39" s="1387"/>
      <c r="N39" s="1387"/>
      <c r="O39" s="1387"/>
      <c r="P39" s="1387"/>
      <c r="Q39" s="1387"/>
      <c r="R39" s="1387"/>
    </row>
    <row r="40" spans="1:18" s="38" customFormat="1" ht="15" customHeight="1" x14ac:dyDescent="0.25">
      <c r="A40" s="39"/>
      <c r="B40" s="39"/>
      <c r="J40" s="39"/>
      <c r="K40" s="39"/>
      <c r="L40" s="39"/>
      <c r="M40" s="39"/>
      <c r="N40" s="39"/>
      <c r="O40" s="39"/>
      <c r="P40" s="39"/>
      <c r="Q40" s="39"/>
      <c r="R40" s="39" t="s">
        <v>85</v>
      </c>
    </row>
    <row r="41" spans="1:18" x14ac:dyDescent="0.2">
      <c r="C41" s="202"/>
      <c r="D41" s="202"/>
      <c r="E41" s="202"/>
      <c r="F41" s="202"/>
      <c r="G41" s="202"/>
      <c r="H41" s="141"/>
      <c r="I41" s="141"/>
      <c r="J41" s="141"/>
      <c r="K41" s="141"/>
      <c r="L41" s="141"/>
      <c r="M41" s="141"/>
      <c r="N41" s="141"/>
      <c r="O41" s="141"/>
      <c r="P41" s="141"/>
      <c r="Q41" s="141"/>
      <c r="R41" s="141"/>
    </row>
    <row r="42" spans="1:18" x14ac:dyDescent="0.2">
      <c r="A42" s="1082"/>
      <c r="B42" s="1082"/>
      <c r="C42" s="1082"/>
      <c r="D42" s="1082"/>
      <c r="E42" s="1082"/>
      <c r="F42" s="1082"/>
      <c r="G42" s="1082"/>
      <c r="H42" s="1082"/>
      <c r="I42" s="1082"/>
      <c r="J42" s="1082"/>
      <c r="K42" s="1082"/>
      <c r="L42" s="1082"/>
      <c r="M42" s="1082"/>
      <c r="N42" s="1082"/>
      <c r="O42" s="1082"/>
      <c r="P42" s="1082"/>
      <c r="Q42" s="1082"/>
      <c r="R42" s="1082"/>
    </row>
  </sheetData>
  <mergeCells count="20">
    <mergeCell ref="G2:I2"/>
    <mergeCell ref="A7:A8"/>
    <mergeCell ref="B7:B8"/>
    <mergeCell ref="P2:Q2"/>
    <mergeCell ref="A3:R3"/>
    <mergeCell ref="A4:R4"/>
    <mergeCell ref="A5:R5"/>
    <mergeCell ref="H7:H8"/>
    <mergeCell ref="K6:R6"/>
    <mergeCell ref="C7:G7"/>
    <mergeCell ref="A6:C6"/>
    <mergeCell ref="I7:L7"/>
    <mergeCell ref="M7:R7"/>
    <mergeCell ref="A28:D28"/>
    <mergeCell ref="B30:E30"/>
    <mergeCell ref="A42:R42"/>
    <mergeCell ref="J38:R38"/>
    <mergeCell ref="I39:R39"/>
    <mergeCell ref="B31:E31"/>
    <mergeCell ref="B32:R32"/>
  </mergeCells>
  <phoneticPr fontId="0" type="noConversion"/>
  <printOptions horizontalCentered="1"/>
  <pageMargins left="0.51" right="0.36" top="0.35" bottom="0" header="0.25" footer="0.31496062992125984"/>
  <pageSetup paperSize="9" scale="7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00000"/>
    <pageSetUpPr fitToPage="1"/>
  </sheetPr>
  <dimension ref="A1:T39"/>
  <sheetViews>
    <sheetView view="pageBreakPreview" zoomScale="90" zoomScaleSheetLayoutView="90" workbookViewId="0">
      <selection activeCell="C9" sqref="C9:T21"/>
    </sheetView>
  </sheetViews>
  <sheetFormatPr defaultRowHeight="12.75" x14ac:dyDescent="0.2"/>
  <cols>
    <col min="1" max="1" width="6.5703125" style="792" customWidth="1"/>
    <col min="2" max="2" width="15.42578125" style="792" customWidth="1"/>
    <col min="3" max="3" width="17.85546875" style="792" customWidth="1"/>
    <col min="4" max="4" width="10.85546875" style="792" customWidth="1"/>
    <col min="5" max="5" width="4.5703125" style="792" customWidth="1"/>
    <col min="6" max="6" width="0.28515625" style="792" hidden="1" customWidth="1"/>
    <col min="7" max="7" width="8.7109375" style="792" customWidth="1"/>
    <col min="8" max="8" width="8" style="792" customWidth="1"/>
    <col min="9" max="14" width="8.140625" style="792" customWidth="1"/>
    <col min="15" max="18" width="10" style="792" customWidth="1"/>
    <col min="19" max="20" width="10" style="12" customWidth="1"/>
    <col min="21" max="16384" width="9.140625" style="12"/>
  </cols>
  <sheetData>
    <row r="1" spans="1:20" ht="15" x14ac:dyDescent="0.2">
      <c r="D1" s="985"/>
      <c r="E1" s="985"/>
      <c r="F1" s="985"/>
      <c r="G1" s="985"/>
      <c r="Q1" s="1161" t="s">
        <v>704</v>
      </c>
      <c r="R1" s="1161"/>
    </row>
    <row r="2" spans="1:20" ht="15.75" x14ac:dyDescent="0.25">
      <c r="A2" s="1056" t="s">
        <v>0</v>
      </c>
      <c r="B2" s="1056"/>
      <c r="C2" s="1056"/>
      <c r="D2" s="1056"/>
      <c r="E2" s="1056"/>
      <c r="F2" s="1056"/>
      <c r="G2" s="1056"/>
      <c r="H2" s="1056"/>
      <c r="I2" s="1056"/>
      <c r="J2" s="1056"/>
      <c r="K2" s="1056"/>
      <c r="L2" s="1056"/>
      <c r="M2" s="1056"/>
      <c r="N2" s="1056"/>
      <c r="O2" s="1056"/>
      <c r="P2" s="1056"/>
      <c r="Q2" s="1056"/>
      <c r="R2" s="1056"/>
    </row>
    <row r="3" spans="1:20" ht="15.75" x14ac:dyDescent="0.25">
      <c r="A3" s="1056" t="s">
        <v>794</v>
      </c>
      <c r="B3" s="1056"/>
      <c r="C3" s="1056"/>
      <c r="D3" s="1056"/>
      <c r="E3" s="1056"/>
      <c r="F3" s="1056"/>
      <c r="G3" s="1056"/>
      <c r="H3" s="1056"/>
      <c r="I3" s="1056"/>
      <c r="J3" s="1056"/>
      <c r="K3" s="1056"/>
      <c r="L3" s="1056"/>
      <c r="M3" s="1056"/>
      <c r="N3" s="1056"/>
      <c r="O3" s="1056"/>
      <c r="P3" s="1056"/>
      <c r="Q3" s="1056"/>
      <c r="R3" s="1056"/>
      <c r="S3" s="70"/>
    </row>
    <row r="4" spans="1:20" s="48" customFormat="1" ht="15.75" customHeight="1" x14ac:dyDescent="0.25">
      <c r="A4" s="1115" t="s">
        <v>706</v>
      </c>
      <c r="B4" s="1115"/>
      <c r="C4" s="1115"/>
      <c r="D4" s="1115"/>
      <c r="E4" s="1115"/>
      <c r="F4" s="1115"/>
      <c r="G4" s="1115"/>
      <c r="H4" s="1115"/>
      <c r="I4" s="1115"/>
      <c r="J4" s="1115"/>
      <c r="K4" s="1115"/>
      <c r="L4" s="1115"/>
      <c r="M4" s="1115"/>
      <c r="N4" s="1115"/>
      <c r="O4" s="1115"/>
      <c r="P4" s="1115"/>
      <c r="Q4" s="1115"/>
      <c r="R4" s="1115"/>
    </row>
    <row r="5" spans="1:20" ht="21.75" customHeight="1" x14ac:dyDescent="0.2">
      <c r="A5" s="1162" t="s">
        <v>463</v>
      </c>
      <c r="B5" s="1162"/>
      <c r="C5" s="1162"/>
      <c r="D5" s="793"/>
      <c r="E5" s="793"/>
      <c r="I5" s="1390"/>
      <c r="J5" s="1390"/>
      <c r="K5" s="1390"/>
      <c r="L5" s="1390"/>
      <c r="M5" s="1390"/>
      <c r="N5" s="1390"/>
      <c r="O5" s="1390"/>
      <c r="P5" s="1390"/>
      <c r="Q5" s="1390"/>
      <c r="R5" s="1390"/>
    </row>
    <row r="6" spans="1:20" ht="30.75" customHeight="1" x14ac:dyDescent="0.2">
      <c r="A6" s="1066" t="s">
        <v>2</v>
      </c>
      <c r="B6" s="1066" t="s">
        <v>3</v>
      </c>
      <c r="C6" s="1066" t="s">
        <v>700</v>
      </c>
      <c r="D6" s="1145" t="s">
        <v>86</v>
      </c>
      <c r="E6" s="1146"/>
      <c r="F6" s="1147"/>
      <c r="G6" s="1090" t="s">
        <v>87</v>
      </c>
      <c r="H6" s="1091"/>
      <c r="I6" s="1091"/>
      <c r="J6" s="1092"/>
      <c r="K6" s="1090" t="s">
        <v>96</v>
      </c>
      <c r="L6" s="1091"/>
      <c r="M6" s="1091"/>
      <c r="N6" s="1092"/>
      <c r="O6" s="1064" t="s">
        <v>885</v>
      </c>
      <c r="P6" s="1064"/>
      <c r="Q6" s="1064"/>
      <c r="R6" s="1064"/>
      <c r="S6" s="1064"/>
      <c r="T6" s="1064"/>
    </row>
    <row r="7" spans="1:20" ht="45.75" customHeight="1" x14ac:dyDescent="0.2">
      <c r="A7" s="1067"/>
      <c r="B7" s="1067"/>
      <c r="C7" s="1067"/>
      <c r="D7" s="1304"/>
      <c r="E7" s="1391"/>
      <c r="F7" s="1392"/>
      <c r="G7" s="794" t="s">
        <v>197</v>
      </c>
      <c r="H7" s="794" t="s">
        <v>121</v>
      </c>
      <c r="I7" s="794" t="s">
        <v>122</v>
      </c>
      <c r="J7" s="306" t="s">
        <v>524</v>
      </c>
      <c r="K7" s="794" t="s">
        <v>150</v>
      </c>
      <c r="L7" s="794" t="s">
        <v>151</v>
      </c>
      <c r="M7" s="794" t="s">
        <v>152</v>
      </c>
      <c r="N7" s="306" t="s">
        <v>524</v>
      </c>
      <c r="O7" s="805" t="s">
        <v>879</v>
      </c>
      <c r="P7" s="805" t="s">
        <v>884</v>
      </c>
      <c r="Q7" s="805" t="s">
        <v>882</v>
      </c>
      <c r="R7" s="805" t="s">
        <v>883</v>
      </c>
      <c r="S7" s="805" t="s">
        <v>880</v>
      </c>
      <c r="T7" s="805" t="s">
        <v>881</v>
      </c>
    </row>
    <row r="8" spans="1:20" s="11" customFormat="1" ht="19.5" customHeight="1" x14ac:dyDescent="0.2">
      <c r="A8" s="790">
        <v>1</v>
      </c>
      <c r="B8" s="790">
        <v>2</v>
      </c>
      <c r="C8" s="790">
        <v>3</v>
      </c>
      <c r="D8" s="1090">
        <v>4</v>
      </c>
      <c r="E8" s="1091"/>
      <c r="F8" s="1092"/>
      <c r="G8" s="790">
        <v>5</v>
      </c>
      <c r="H8" s="790">
        <v>6</v>
      </c>
      <c r="I8" s="790">
        <v>7</v>
      </c>
      <c r="J8" s="790">
        <v>8</v>
      </c>
      <c r="K8" s="790">
        <v>9</v>
      </c>
      <c r="L8" s="790">
        <v>10</v>
      </c>
      <c r="M8" s="790">
        <v>11</v>
      </c>
      <c r="N8" s="790">
        <v>12</v>
      </c>
      <c r="O8" s="802">
        <v>13</v>
      </c>
      <c r="P8" s="802">
        <v>14</v>
      </c>
      <c r="Q8" s="802">
        <v>15</v>
      </c>
      <c r="R8" s="802">
        <v>16</v>
      </c>
      <c r="S8" s="802">
        <v>17</v>
      </c>
      <c r="T8" s="802">
        <v>18</v>
      </c>
    </row>
    <row r="9" spans="1:20" ht="21" customHeight="1" x14ac:dyDescent="0.2">
      <c r="A9" s="791">
        <v>1</v>
      </c>
      <c r="B9" s="375" t="s">
        <v>392</v>
      </c>
      <c r="C9" s="1396" t="s">
        <v>406</v>
      </c>
      <c r="D9" s="1397"/>
      <c r="E9" s="1397"/>
      <c r="F9" s="1397"/>
      <c r="G9" s="1397"/>
      <c r="H9" s="1397"/>
      <c r="I9" s="1397"/>
      <c r="J9" s="1397"/>
      <c r="K9" s="1397"/>
      <c r="L9" s="1397"/>
      <c r="M9" s="1397"/>
      <c r="N9" s="1397"/>
      <c r="O9" s="1397"/>
      <c r="P9" s="1397"/>
      <c r="Q9" s="1397"/>
      <c r="R9" s="1397"/>
      <c r="S9" s="1397"/>
      <c r="T9" s="1397"/>
    </row>
    <row r="10" spans="1:20" ht="21" customHeight="1" x14ac:dyDescent="0.2">
      <c r="A10" s="791">
        <v>2</v>
      </c>
      <c r="B10" s="375" t="s">
        <v>393</v>
      </c>
      <c r="C10" s="1398"/>
      <c r="D10" s="1399"/>
      <c r="E10" s="1399"/>
      <c r="F10" s="1399"/>
      <c r="G10" s="1399"/>
      <c r="H10" s="1399"/>
      <c r="I10" s="1399"/>
      <c r="J10" s="1399"/>
      <c r="K10" s="1399"/>
      <c r="L10" s="1399"/>
      <c r="M10" s="1399"/>
      <c r="N10" s="1399"/>
      <c r="O10" s="1399"/>
      <c r="P10" s="1399"/>
      <c r="Q10" s="1399"/>
      <c r="R10" s="1399"/>
      <c r="S10" s="1399"/>
      <c r="T10" s="1399"/>
    </row>
    <row r="11" spans="1:20" ht="21" customHeight="1" x14ac:dyDescent="0.2">
      <c r="A11" s="791">
        <v>3</v>
      </c>
      <c r="B11" s="375" t="s">
        <v>394</v>
      </c>
      <c r="C11" s="1398"/>
      <c r="D11" s="1399"/>
      <c r="E11" s="1399"/>
      <c r="F11" s="1399"/>
      <c r="G11" s="1399"/>
      <c r="H11" s="1399"/>
      <c r="I11" s="1399"/>
      <c r="J11" s="1399"/>
      <c r="K11" s="1399"/>
      <c r="L11" s="1399"/>
      <c r="M11" s="1399"/>
      <c r="N11" s="1399"/>
      <c r="O11" s="1399"/>
      <c r="P11" s="1399"/>
      <c r="Q11" s="1399"/>
      <c r="R11" s="1399"/>
      <c r="S11" s="1399"/>
      <c r="T11" s="1399"/>
    </row>
    <row r="12" spans="1:20" ht="21" customHeight="1" x14ac:dyDescent="0.2">
      <c r="A12" s="791">
        <v>4</v>
      </c>
      <c r="B12" s="375" t="s">
        <v>395</v>
      </c>
      <c r="C12" s="1398"/>
      <c r="D12" s="1399"/>
      <c r="E12" s="1399"/>
      <c r="F12" s="1399"/>
      <c r="G12" s="1399"/>
      <c r="H12" s="1399"/>
      <c r="I12" s="1399"/>
      <c r="J12" s="1399"/>
      <c r="K12" s="1399"/>
      <c r="L12" s="1399"/>
      <c r="M12" s="1399"/>
      <c r="N12" s="1399"/>
      <c r="O12" s="1399"/>
      <c r="P12" s="1399"/>
      <c r="Q12" s="1399"/>
      <c r="R12" s="1399"/>
      <c r="S12" s="1399"/>
      <c r="T12" s="1399"/>
    </row>
    <row r="13" spans="1:20" ht="21" customHeight="1" x14ac:dyDescent="0.2">
      <c r="A13" s="791">
        <v>5</v>
      </c>
      <c r="B13" s="376" t="s">
        <v>396</v>
      </c>
      <c r="C13" s="1398"/>
      <c r="D13" s="1399"/>
      <c r="E13" s="1399"/>
      <c r="F13" s="1399"/>
      <c r="G13" s="1399"/>
      <c r="H13" s="1399"/>
      <c r="I13" s="1399"/>
      <c r="J13" s="1399"/>
      <c r="K13" s="1399"/>
      <c r="L13" s="1399"/>
      <c r="M13" s="1399"/>
      <c r="N13" s="1399"/>
      <c r="O13" s="1399"/>
      <c r="P13" s="1399"/>
      <c r="Q13" s="1399"/>
      <c r="R13" s="1399"/>
      <c r="S13" s="1399"/>
      <c r="T13" s="1399"/>
    </row>
    <row r="14" spans="1:20" ht="21" customHeight="1" x14ac:dyDescent="0.2">
      <c r="A14" s="791">
        <v>6</v>
      </c>
      <c r="B14" s="375" t="s">
        <v>397</v>
      </c>
      <c r="C14" s="1398"/>
      <c r="D14" s="1399"/>
      <c r="E14" s="1399"/>
      <c r="F14" s="1399"/>
      <c r="G14" s="1399"/>
      <c r="H14" s="1399"/>
      <c r="I14" s="1399"/>
      <c r="J14" s="1399"/>
      <c r="K14" s="1399"/>
      <c r="L14" s="1399"/>
      <c r="M14" s="1399"/>
      <c r="N14" s="1399"/>
      <c r="O14" s="1399"/>
      <c r="P14" s="1399"/>
      <c r="Q14" s="1399"/>
      <c r="R14" s="1399"/>
      <c r="S14" s="1399"/>
      <c r="T14" s="1399"/>
    </row>
    <row r="15" spans="1:20" ht="21" customHeight="1" x14ac:dyDescent="0.2">
      <c r="A15" s="791">
        <v>7</v>
      </c>
      <c r="B15" s="376" t="s">
        <v>398</v>
      </c>
      <c r="C15" s="1398"/>
      <c r="D15" s="1399"/>
      <c r="E15" s="1399"/>
      <c r="F15" s="1399"/>
      <c r="G15" s="1399"/>
      <c r="H15" s="1399"/>
      <c r="I15" s="1399"/>
      <c r="J15" s="1399"/>
      <c r="K15" s="1399"/>
      <c r="L15" s="1399"/>
      <c r="M15" s="1399"/>
      <c r="N15" s="1399"/>
      <c r="O15" s="1399"/>
      <c r="P15" s="1399"/>
      <c r="Q15" s="1399"/>
      <c r="R15" s="1399"/>
      <c r="S15" s="1399"/>
      <c r="T15" s="1399"/>
    </row>
    <row r="16" spans="1:20" ht="21" customHeight="1" x14ac:dyDescent="0.2">
      <c r="A16" s="791">
        <v>8</v>
      </c>
      <c r="B16" s="375" t="s">
        <v>399</v>
      </c>
      <c r="C16" s="1398"/>
      <c r="D16" s="1399"/>
      <c r="E16" s="1399"/>
      <c r="F16" s="1399"/>
      <c r="G16" s="1399"/>
      <c r="H16" s="1399"/>
      <c r="I16" s="1399"/>
      <c r="J16" s="1399"/>
      <c r="K16" s="1399"/>
      <c r="L16" s="1399"/>
      <c r="M16" s="1399"/>
      <c r="N16" s="1399"/>
      <c r="O16" s="1399"/>
      <c r="P16" s="1399"/>
      <c r="Q16" s="1399"/>
      <c r="R16" s="1399"/>
      <c r="S16" s="1399"/>
      <c r="T16" s="1399"/>
    </row>
    <row r="17" spans="1:20" ht="21" customHeight="1" x14ac:dyDescent="0.2">
      <c r="A17" s="791">
        <v>9</v>
      </c>
      <c r="B17" s="375" t="s">
        <v>400</v>
      </c>
      <c r="C17" s="1398"/>
      <c r="D17" s="1399"/>
      <c r="E17" s="1399"/>
      <c r="F17" s="1399"/>
      <c r="G17" s="1399"/>
      <c r="H17" s="1399"/>
      <c r="I17" s="1399"/>
      <c r="J17" s="1399"/>
      <c r="K17" s="1399"/>
      <c r="L17" s="1399"/>
      <c r="M17" s="1399"/>
      <c r="N17" s="1399"/>
      <c r="O17" s="1399"/>
      <c r="P17" s="1399"/>
      <c r="Q17" s="1399"/>
      <c r="R17" s="1399"/>
      <c r="S17" s="1399"/>
      <c r="T17" s="1399"/>
    </row>
    <row r="18" spans="1:20" ht="21" customHeight="1" x14ac:dyDescent="0.2">
      <c r="A18" s="791">
        <v>10</v>
      </c>
      <c r="B18" s="375" t="s">
        <v>401</v>
      </c>
      <c r="C18" s="1398"/>
      <c r="D18" s="1399"/>
      <c r="E18" s="1399"/>
      <c r="F18" s="1399"/>
      <c r="G18" s="1399"/>
      <c r="H18" s="1399"/>
      <c r="I18" s="1399"/>
      <c r="J18" s="1399"/>
      <c r="K18" s="1399"/>
      <c r="L18" s="1399"/>
      <c r="M18" s="1399"/>
      <c r="N18" s="1399"/>
      <c r="O18" s="1399"/>
      <c r="P18" s="1399"/>
      <c r="Q18" s="1399"/>
      <c r="R18" s="1399"/>
      <c r="S18" s="1399"/>
      <c r="T18" s="1399"/>
    </row>
    <row r="19" spans="1:20" ht="21" customHeight="1" x14ac:dyDescent="0.2">
      <c r="A19" s="791">
        <v>11</v>
      </c>
      <c r="B19" s="375" t="s">
        <v>402</v>
      </c>
      <c r="C19" s="1398"/>
      <c r="D19" s="1399"/>
      <c r="E19" s="1399"/>
      <c r="F19" s="1399"/>
      <c r="G19" s="1399"/>
      <c r="H19" s="1399"/>
      <c r="I19" s="1399"/>
      <c r="J19" s="1399"/>
      <c r="K19" s="1399"/>
      <c r="L19" s="1399"/>
      <c r="M19" s="1399"/>
      <c r="N19" s="1399"/>
      <c r="O19" s="1399"/>
      <c r="P19" s="1399"/>
      <c r="Q19" s="1399"/>
      <c r="R19" s="1399"/>
      <c r="S19" s="1399"/>
      <c r="T19" s="1399"/>
    </row>
    <row r="20" spans="1:20" ht="21" customHeight="1" x14ac:dyDescent="0.2">
      <c r="A20" s="791">
        <v>12</v>
      </c>
      <c r="B20" s="375" t="s">
        <v>403</v>
      </c>
      <c r="C20" s="1398"/>
      <c r="D20" s="1399"/>
      <c r="E20" s="1399"/>
      <c r="F20" s="1399"/>
      <c r="G20" s="1399"/>
      <c r="H20" s="1399"/>
      <c r="I20" s="1399"/>
      <c r="J20" s="1399"/>
      <c r="K20" s="1399"/>
      <c r="L20" s="1399"/>
      <c r="M20" s="1399"/>
      <c r="N20" s="1399"/>
      <c r="O20" s="1399"/>
      <c r="P20" s="1399"/>
      <c r="Q20" s="1399"/>
      <c r="R20" s="1399"/>
      <c r="S20" s="1399"/>
      <c r="T20" s="1399"/>
    </row>
    <row r="21" spans="1:20" ht="21" customHeight="1" x14ac:dyDescent="0.2">
      <c r="A21" s="791">
        <v>13</v>
      </c>
      <c r="B21" s="375" t="s">
        <v>404</v>
      </c>
      <c r="C21" s="1398"/>
      <c r="D21" s="1399"/>
      <c r="E21" s="1399"/>
      <c r="F21" s="1399"/>
      <c r="G21" s="1399"/>
      <c r="H21" s="1399"/>
      <c r="I21" s="1399"/>
      <c r="J21" s="1399"/>
      <c r="K21" s="1399"/>
      <c r="L21" s="1399"/>
      <c r="M21" s="1399"/>
      <c r="N21" s="1399"/>
      <c r="O21" s="1399"/>
      <c r="P21" s="1399"/>
      <c r="Q21" s="1399"/>
      <c r="R21" s="1399"/>
      <c r="S21" s="1399"/>
      <c r="T21" s="1399"/>
    </row>
    <row r="22" spans="1:20" ht="21" customHeight="1" x14ac:dyDescent="0.2">
      <c r="A22" s="791" t="s">
        <v>18</v>
      </c>
      <c r="B22" s="218"/>
      <c r="C22" s="263"/>
      <c r="D22" s="1393"/>
      <c r="E22" s="1394"/>
      <c r="F22" s="1395"/>
      <c r="G22" s="263"/>
      <c r="H22" s="263"/>
      <c r="I22" s="263"/>
      <c r="J22" s="263"/>
      <c r="K22" s="263"/>
      <c r="L22" s="263"/>
      <c r="M22" s="263"/>
      <c r="N22" s="263"/>
      <c r="O22" s="263"/>
      <c r="P22" s="263"/>
      <c r="Q22" s="263"/>
      <c r="R22" s="263"/>
      <c r="S22" s="14"/>
      <c r="T22" s="14"/>
    </row>
    <row r="23" spans="1:20" x14ac:dyDescent="0.2">
      <c r="A23" s="16"/>
      <c r="B23" s="16"/>
      <c r="C23" s="16"/>
      <c r="D23" s="16"/>
      <c r="E23" s="16"/>
    </row>
    <row r="24" spans="1:20" x14ac:dyDescent="0.2">
      <c r="A24" s="364" t="s">
        <v>7</v>
      </c>
      <c r="B24" s="365"/>
      <c r="C24" s="365"/>
      <c r="D24" s="366"/>
      <c r="E24" s="551"/>
      <c r="F24" s="551"/>
      <c r="G24" s="551"/>
      <c r="H24" s="551"/>
      <c r="I24" s="551"/>
      <c r="J24" s="551"/>
      <c r="K24" s="551"/>
      <c r="L24" s="551"/>
      <c r="M24" s="551"/>
      <c r="N24" s="551"/>
      <c r="O24" s="551"/>
      <c r="P24" s="551"/>
      <c r="Q24" s="551"/>
      <c r="R24" s="551"/>
    </row>
    <row r="25" spans="1:20" x14ac:dyDescent="0.2">
      <c r="A25" s="368" t="s">
        <v>8</v>
      </c>
      <c r="B25" s="368"/>
      <c r="C25" s="368"/>
      <c r="D25" s="367"/>
      <c r="E25" s="551"/>
      <c r="F25" s="551"/>
      <c r="G25" s="551"/>
      <c r="H25" s="551"/>
      <c r="I25" s="551"/>
      <c r="J25" s="551"/>
      <c r="K25" s="551"/>
      <c r="L25" s="551"/>
      <c r="M25" s="551"/>
      <c r="N25" s="551"/>
      <c r="O25" s="551"/>
      <c r="P25" s="551"/>
      <c r="Q25" s="551"/>
      <c r="R25" s="551"/>
    </row>
    <row r="26" spans="1:20" x14ac:dyDescent="0.2">
      <c r="A26" s="368" t="s">
        <v>9</v>
      </c>
      <c r="B26" s="368"/>
      <c r="C26" s="368"/>
      <c r="D26" s="367"/>
      <c r="E26" s="551"/>
      <c r="F26" s="551"/>
      <c r="G26" s="551"/>
      <c r="H26" s="551"/>
      <c r="I26" s="551"/>
      <c r="J26" s="551"/>
      <c r="K26" s="551"/>
      <c r="L26" s="551"/>
      <c r="M26" s="551"/>
      <c r="N26" s="551"/>
      <c r="O26" s="551"/>
      <c r="P26" s="551"/>
      <c r="Q26" s="551"/>
      <c r="R26" s="551"/>
    </row>
    <row r="27" spans="1:20" x14ac:dyDescent="0.2">
      <c r="A27" s="1386" t="s">
        <v>237</v>
      </c>
      <c r="B27" s="1386"/>
      <c r="C27" s="1386"/>
      <c r="D27" s="1386"/>
      <c r="E27" s="551"/>
      <c r="F27" s="551"/>
      <c r="G27" s="551"/>
      <c r="H27" s="551"/>
      <c r="I27" s="551"/>
      <c r="J27" s="551"/>
      <c r="K27" s="551"/>
      <c r="L27" s="551"/>
      <c r="M27" s="551"/>
      <c r="N27" s="551"/>
      <c r="O27" s="551"/>
      <c r="P27" s="551"/>
      <c r="Q27" s="551"/>
      <c r="R27" s="551"/>
    </row>
    <row r="28" spans="1:20" x14ac:dyDescent="0.2">
      <c r="A28" s="551"/>
      <c r="B28" s="551"/>
      <c r="C28" s="551"/>
      <c r="D28" s="551"/>
      <c r="E28" s="551"/>
      <c r="F28" s="551"/>
      <c r="G28" s="551"/>
      <c r="H28" s="551"/>
      <c r="I28" s="551"/>
      <c r="J28" s="551"/>
      <c r="K28" s="551"/>
      <c r="L28" s="551"/>
      <c r="M28" s="551"/>
      <c r="N28" s="551"/>
      <c r="O28" s="551"/>
      <c r="P28" s="551"/>
      <c r="Q28" s="551"/>
      <c r="R28" s="551"/>
    </row>
    <row r="29" spans="1:20" x14ac:dyDescent="0.2">
      <c r="A29" s="551"/>
      <c r="B29" s="551"/>
      <c r="C29" s="551"/>
      <c r="D29" s="551"/>
      <c r="E29" s="551"/>
      <c r="F29" s="551"/>
      <c r="G29" s="551"/>
      <c r="H29" s="551"/>
      <c r="I29" s="551"/>
      <c r="J29" s="551"/>
      <c r="K29" s="551"/>
      <c r="L29" s="551"/>
      <c r="M29" s="551"/>
      <c r="N29" s="551"/>
      <c r="O29" s="551"/>
      <c r="P29" s="551"/>
      <c r="Q29" s="551"/>
      <c r="R29" s="551"/>
    </row>
    <row r="30" spans="1:20" x14ac:dyDescent="0.2">
      <c r="A30" s="551"/>
      <c r="B30" s="551"/>
      <c r="C30" s="551"/>
      <c r="D30" s="551"/>
      <c r="E30" s="551"/>
      <c r="F30" s="551"/>
      <c r="G30" s="551"/>
      <c r="H30" s="551"/>
      <c r="I30" s="551"/>
      <c r="J30" s="551"/>
      <c r="K30" s="551"/>
      <c r="L30" s="551"/>
      <c r="M30" s="551"/>
      <c r="N30" s="551"/>
      <c r="O30" s="551"/>
      <c r="P30" s="551"/>
      <c r="Q30" s="551"/>
      <c r="R30" s="551"/>
    </row>
    <row r="31" spans="1:20" x14ac:dyDescent="0.2">
      <c r="A31" s="551"/>
      <c r="B31" s="551"/>
      <c r="C31" s="551"/>
      <c r="D31" s="551"/>
      <c r="E31" s="551"/>
      <c r="F31" s="551"/>
      <c r="G31" s="551"/>
      <c r="H31" s="551"/>
      <c r="I31" s="551"/>
      <c r="J31" s="551"/>
      <c r="K31" s="551"/>
      <c r="L31" s="551"/>
      <c r="M31" s="551"/>
      <c r="N31" s="551"/>
      <c r="O31" s="551"/>
      <c r="P31" s="551"/>
      <c r="Q31" s="551"/>
      <c r="R31" s="551"/>
    </row>
    <row r="32" spans="1:20" x14ac:dyDescent="0.2">
      <c r="A32" s="551"/>
      <c r="B32" s="551"/>
      <c r="C32" s="551"/>
      <c r="D32" s="551"/>
      <c r="E32" s="551"/>
      <c r="F32" s="551"/>
      <c r="G32" s="551"/>
      <c r="H32" s="551"/>
      <c r="I32" s="551"/>
      <c r="J32" s="551"/>
      <c r="K32" s="551"/>
      <c r="L32" s="551"/>
      <c r="M32" s="551"/>
      <c r="N32" s="551"/>
      <c r="O32" s="551"/>
      <c r="P32" s="551"/>
      <c r="Q32" s="551"/>
      <c r="R32" s="551"/>
    </row>
    <row r="33" spans="1:18" x14ac:dyDescent="0.2">
      <c r="A33" s="11"/>
      <c r="B33" s="11"/>
      <c r="C33" s="11"/>
    </row>
    <row r="34" spans="1:18" x14ac:dyDescent="0.2">
      <c r="A34" s="11" t="s">
        <v>11</v>
      </c>
      <c r="D34" s="11"/>
      <c r="E34" s="11"/>
      <c r="H34" s="11"/>
      <c r="I34" s="11"/>
      <c r="J34" s="11"/>
      <c r="K34" s="11"/>
      <c r="L34" s="11"/>
      <c r="M34" s="11"/>
      <c r="N34" s="11"/>
      <c r="O34" s="11"/>
      <c r="P34" s="11"/>
      <c r="Q34" s="1086" t="s">
        <v>12</v>
      </c>
      <c r="R34" s="1086"/>
    </row>
    <row r="35" spans="1:18" ht="12.75" customHeight="1" x14ac:dyDescent="0.2">
      <c r="G35" s="11"/>
      <c r="H35" s="1385" t="s">
        <v>13</v>
      </c>
      <c r="I35" s="1385"/>
      <c r="J35" s="1385"/>
      <c r="K35" s="1385"/>
      <c r="L35" s="1385"/>
      <c r="M35" s="1385"/>
      <c r="N35" s="1385"/>
      <c r="O35" s="1385"/>
      <c r="P35" s="1385"/>
      <c r="Q35" s="1385"/>
      <c r="R35" s="1385"/>
    </row>
    <row r="36" spans="1:18" ht="12.75" customHeight="1" x14ac:dyDescent="0.2">
      <c r="G36" s="1385" t="s">
        <v>88</v>
      </c>
      <c r="H36" s="1385"/>
      <c r="I36" s="1385"/>
      <c r="J36" s="1385"/>
      <c r="K36" s="1385"/>
      <c r="L36" s="1385"/>
      <c r="M36" s="1385"/>
      <c r="N36" s="1385"/>
      <c r="O36" s="1385"/>
      <c r="P36" s="1385"/>
      <c r="Q36" s="1385"/>
      <c r="R36" s="1385"/>
    </row>
    <row r="37" spans="1:18" x14ac:dyDescent="0.2">
      <c r="A37" s="11"/>
      <c r="B37" s="11"/>
      <c r="H37" s="11"/>
      <c r="I37" s="11"/>
      <c r="J37" s="11"/>
      <c r="K37" s="11"/>
      <c r="L37" s="11"/>
      <c r="M37" s="11"/>
      <c r="N37" s="11"/>
      <c r="O37" s="11"/>
      <c r="P37" s="11"/>
      <c r="Q37" s="11"/>
      <c r="R37" s="11" t="s">
        <v>85</v>
      </c>
    </row>
    <row r="39" spans="1:18" x14ac:dyDescent="0.2">
      <c r="A39" s="1082"/>
      <c r="B39" s="1082"/>
      <c r="C39" s="1082"/>
      <c r="D39" s="1082"/>
      <c r="E39" s="1082"/>
      <c r="F39" s="1082"/>
      <c r="G39" s="1082"/>
      <c r="H39" s="1082"/>
      <c r="I39" s="1082"/>
      <c r="J39" s="1082"/>
      <c r="K39" s="1082"/>
      <c r="L39" s="1082"/>
      <c r="M39" s="1082"/>
      <c r="N39" s="1082"/>
      <c r="O39" s="1082"/>
      <c r="P39" s="1082"/>
      <c r="Q39" s="1082"/>
      <c r="R39" s="1082"/>
    </row>
  </sheetData>
  <mergeCells count="22">
    <mergeCell ref="D22:F22"/>
    <mergeCell ref="D8:F8"/>
    <mergeCell ref="O6:T6"/>
    <mergeCell ref="C9:T21"/>
    <mergeCell ref="G36:R36"/>
    <mergeCell ref="H35:R35"/>
    <mergeCell ref="A39:R39"/>
    <mergeCell ref="Q34:R34"/>
    <mergeCell ref="A27:D27"/>
    <mergeCell ref="D1:G1"/>
    <mergeCell ref="Q1:R1"/>
    <mergeCell ref="A2:R2"/>
    <mergeCell ref="A3:R3"/>
    <mergeCell ref="A4:R4"/>
    <mergeCell ref="A5:C5"/>
    <mergeCell ref="I5:R5"/>
    <mergeCell ref="A6:A7"/>
    <mergeCell ref="B6:B7"/>
    <mergeCell ref="D6:F7"/>
    <mergeCell ref="G6:J6"/>
    <mergeCell ref="K6:N6"/>
    <mergeCell ref="C6:C7"/>
  </mergeCells>
  <printOptions horizontalCentered="1"/>
  <pageMargins left="0.22" right="0.18" top="0.23622047244094491" bottom="0" header="0.31496062992125984" footer="0.31496062992125984"/>
  <pageSetup paperSize="9" scale="81"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39"/>
  <sheetViews>
    <sheetView view="pageBreakPreview" zoomScale="90" zoomScaleSheetLayoutView="90" workbookViewId="0">
      <selection activeCell="C9" sqref="C9:T21"/>
    </sheetView>
  </sheetViews>
  <sheetFormatPr defaultRowHeight="12.75" x14ac:dyDescent="0.2"/>
  <cols>
    <col min="1" max="1" width="6.5703125" style="803" customWidth="1"/>
    <col min="2" max="2" width="15.42578125" style="803" customWidth="1"/>
    <col min="3" max="3" width="17.85546875" style="803" customWidth="1"/>
    <col min="4" max="4" width="10.85546875" style="803" customWidth="1"/>
    <col min="5" max="5" width="4.5703125" style="803" customWidth="1"/>
    <col min="6" max="6" width="0.28515625" style="803" hidden="1" customWidth="1"/>
    <col min="7" max="7" width="8.7109375" style="803" customWidth="1"/>
    <col min="8" max="8" width="8" style="803" customWidth="1"/>
    <col min="9" max="14" width="8.140625" style="803" customWidth="1"/>
    <col min="15" max="20" width="10" style="803" customWidth="1"/>
    <col min="21" max="16384" width="9.140625" style="803"/>
  </cols>
  <sheetData>
    <row r="1" spans="1:20" ht="15" x14ac:dyDescent="0.2">
      <c r="D1" s="985"/>
      <c r="E1" s="985"/>
      <c r="F1" s="985"/>
      <c r="G1" s="985"/>
      <c r="Q1" s="1161" t="s">
        <v>705</v>
      </c>
      <c r="R1" s="1161"/>
    </row>
    <row r="2" spans="1:20" ht="15.75" x14ac:dyDescent="0.25">
      <c r="A2" s="1056" t="s">
        <v>0</v>
      </c>
      <c r="B2" s="1056"/>
      <c r="C2" s="1056"/>
      <c r="D2" s="1056"/>
      <c r="E2" s="1056"/>
      <c r="F2" s="1056"/>
      <c r="G2" s="1056"/>
      <c r="H2" s="1056"/>
      <c r="I2" s="1056"/>
      <c r="J2" s="1056"/>
      <c r="K2" s="1056"/>
      <c r="L2" s="1056"/>
      <c r="M2" s="1056"/>
      <c r="N2" s="1056"/>
      <c r="O2" s="1056"/>
      <c r="P2" s="1056"/>
      <c r="Q2" s="1056"/>
      <c r="R2" s="1056"/>
    </row>
    <row r="3" spans="1:20" ht="15.75" x14ac:dyDescent="0.25">
      <c r="A3" s="1056" t="s">
        <v>794</v>
      </c>
      <c r="B3" s="1056"/>
      <c r="C3" s="1056"/>
      <c r="D3" s="1056"/>
      <c r="E3" s="1056"/>
      <c r="F3" s="1056"/>
      <c r="G3" s="1056"/>
      <c r="H3" s="1056"/>
      <c r="I3" s="1056"/>
      <c r="J3" s="1056"/>
      <c r="K3" s="1056"/>
      <c r="L3" s="1056"/>
      <c r="M3" s="1056"/>
      <c r="N3" s="1056"/>
      <c r="O3" s="1056"/>
      <c r="P3" s="1056"/>
      <c r="Q3" s="1056"/>
      <c r="R3" s="1056"/>
      <c r="S3" s="70"/>
    </row>
    <row r="4" spans="1:20" s="48" customFormat="1" ht="15.75" customHeight="1" x14ac:dyDescent="0.25">
      <c r="A4" s="1115" t="s">
        <v>707</v>
      </c>
      <c r="B4" s="1115"/>
      <c r="C4" s="1115"/>
      <c r="D4" s="1115"/>
      <c r="E4" s="1115"/>
      <c r="F4" s="1115"/>
      <c r="G4" s="1115"/>
      <c r="H4" s="1115"/>
      <c r="I4" s="1115"/>
      <c r="J4" s="1115"/>
      <c r="K4" s="1115"/>
      <c r="L4" s="1115"/>
      <c r="M4" s="1115"/>
      <c r="N4" s="1115"/>
      <c r="O4" s="1115"/>
      <c r="P4" s="1115"/>
      <c r="Q4" s="1115"/>
      <c r="R4" s="1115"/>
    </row>
    <row r="5" spans="1:20" ht="21.75" customHeight="1" x14ac:dyDescent="0.2">
      <c r="A5" s="1162" t="s">
        <v>463</v>
      </c>
      <c r="B5" s="1162"/>
      <c r="C5" s="1162"/>
      <c r="D5" s="804"/>
      <c r="E5" s="804"/>
      <c r="I5" s="1390"/>
      <c r="J5" s="1390"/>
      <c r="K5" s="1390"/>
      <c r="L5" s="1390"/>
      <c r="M5" s="1390"/>
      <c r="N5" s="1390"/>
      <c r="O5" s="1390"/>
      <c r="P5" s="1390"/>
      <c r="Q5" s="1390"/>
      <c r="R5" s="1390"/>
    </row>
    <row r="6" spans="1:20" ht="30.75" customHeight="1" x14ac:dyDescent="0.2">
      <c r="A6" s="1066" t="s">
        <v>2</v>
      </c>
      <c r="B6" s="1066" t="s">
        <v>3</v>
      </c>
      <c r="C6" s="1066" t="s">
        <v>700</v>
      </c>
      <c r="D6" s="1145" t="s">
        <v>86</v>
      </c>
      <c r="E6" s="1146"/>
      <c r="F6" s="1147"/>
      <c r="G6" s="1090" t="s">
        <v>87</v>
      </c>
      <c r="H6" s="1091"/>
      <c r="I6" s="1091"/>
      <c r="J6" s="1092"/>
      <c r="K6" s="1090" t="s">
        <v>96</v>
      </c>
      <c r="L6" s="1091"/>
      <c r="M6" s="1091"/>
      <c r="N6" s="1092"/>
      <c r="O6" s="1064" t="s">
        <v>885</v>
      </c>
      <c r="P6" s="1064"/>
      <c r="Q6" s="1064"/>
      <c r="R6" s="1064"/>
      <c r="S6" s="1064"/>
      <c r="T6" s="1064"/>
    </row>
    <row r="7" spans="1:20" ht="45.75" customHeight="1" x14ac:dyDescent="0.2">
      <c r="A7" s="1067"/>
      <c r="B7" s="1067"/>
      <c r="C7" s="1067"/>
      <c r="D7" s="1304"/>
      <c r="E7" s="1391"/>
      <c r="F7" s="1392"/>
      <c r="G7" s="805" t="s">
        <v>197</v>
      </c>
      <c r="H7" s="805" t="s">
        <v>121</v>
      </c>
      <c r="I7" s="805" t="s">
        <v>122</v>
      </c>
      <c r="J7" s="306" t="s">
        <v>524</v>
      </c>
      <c r="K7" s="805" t="s">
        <v>150</v>
      </c>
      <c r="L7" s="805" t="s">
        <v>151</v>
      </c>
      <c r="M7" s="805" t="s">
        <v>152</v>
      </c>
      <c r="N7" s="306" t="s">
        <v>524</v>
      </c>
      <c r="O7" s="805" t="s">
        <v>879</v>
      </c>
      <c r="P7" s="805" t="s">
        <v>884</v>
      </c>
      <c r="Q7" s="805" t="s">
        <v>882</v>
      </c>
      <c r="R7" s="805" t="s">
        <v>883</v>
      </c>
      <c r="S7" s="805" t="s">
        <v>880</v>
      </c>
      <c r="T7" s="805" t="s">
        <v>881</v>
      </c>
    </row>
    <row r="8" spans="1:20" s="11" customFormat="1" ht="19.5" customHeight="1" x14ac:dyDescent="0.2">
      <c r="A8" s="802">
        <v>1</v>
      </c>
      <c r="B8" s="802">
        <v>2</v>
      </c>
      <c r="C8" s="802">
        <v>3</v>
      </c>
      <c r="D8" s="1090">
        <v>4</v>
      </c>
      <c r="E8" s="1091"/>
      <c r="F8" s="1092"/>
      <c r="G8" s="802">
        <v>5</v>
      </c>
      <c r="H8" s="802">
        <v>6</v>
      </c>
      <c r="I8" s="802">
        <v>7</v>
      </c>
      <c r="J8" s="802">
        <v>8</v>
      </c>
      <c r="K8" s="802">
        <v>9</v>
      </c>
      <c r="L8" s="802">
        <v>10</v>
      </c>
      <c r="M8" s="802">
        <v>11</v>
      </c>
      <c r="N8" s="802">
        <v>12</v>
      </c>
      <c r="O8" s="802">
        <v>13</v>
      </c>
      <c r="P8" s="802">
        <v>14</v>
      </c>
      <c r="Q8" s="802">
        <v>15</v>
      </c>
      <c r="R8" s="802">
        <v>16</v>
      </c>
      <c r="S8" s="802">
        <v>17</v>
      </c>
      <c r="T8" s="802">
        <v>18</v>
      </c>
    </row>
    <row r="9" spans="1:20" ht="21" customHeight="1" x14ac:dyDescent="0.2">
      <c r="A9" s="801">
        <v>1</v>
      </c>
      <c r="B9" s="375" t="s">
        <v>392</v>
      </c>
      <c r="C9" s="1396" t="s">
        <v>406</v>
      </c>
      <c r="D9" s="1397"/>
      <c r="E9" s="1397"/>
      <c r="F9" s="1397"/>
      <c r="G9" s="1397"/>
      <c r="H9" s="1397"/>
      <c r="I9" s="1397"/>
      <c r="J9" s="1397"/>
      <c r="K9" s="1397"/>
      <c r="L9" s="1397"/>
      <c r="M9" s="1397"/>
      <c r="N9" s="1397"/>
      <c r="O9" s="1397"/>
      <c r="P9" s="1397"/>
      <c r="Q9" s="1397"/>
      <c r="R9" s="1397"/>
      <c r="S9" s="1397"/>
      <c r="T9" s="1397"/>
    </row>
    <row r="10" spans="1:20" ht="21" customHeight="1" x14ac:dyDescent="0.2">
      <c r="A10" s="801">
        <v>2</v>
      </c>
      <c r="B10" s="375" t="s">
        <v>393</v>
      </c>
      <c r="C10" s="1398"/>
      <c r="D10" s="1399"/>
      <c r="E10" s="1399"/>
      <c r="F10" s="1399"/>
      <c r="G10" s="1399"/>
      <c r="H10" s="1399"/>
      <c r="I10" s="1399"/>
      <c r="J10" s="1399"/>
      <c r="K10" s="1399"/>
      <c r="L10" s="1399"/>
      <c r="M10" s="1399"/>
      <c r="N10" s="1399"/>
      <c r="O10" s="1399"/>
      <c r="P10" s="1399"/>
      <c r="Q10" s="1399"/>
      <c r="R10" s="1399"/>
      <c r="S10" s="1399"/>
      <c r="T10" s="1399"/>
    </row>
    <row r="11" spans="1:20" ht="21" customHeight="1" x14ac:dyDescent="0.2">
      <c r="A11" s="801">
        <v>3</v>
      </c>
      <c r="B11" s="375" t="s">
        <v>394</v>
      </c>
      <c r="C11" s="1398"/>
      <c r="D11" s="1399"/>
      <c r="E11" s="1399"/>
      <c r="F11" s="1399"/>
      <c r="G11" s="1399"/>
      <c r="H11" s="1399"/>
      <c r="I11" s="1399"/>
      <c r="J11" s="1399"/>
      <c r="K11" s="1399"/>
      <c r="L11" s="1399"/>
      <c r="M11" s="1399"/>
      <c r="N11" s="1399"/>
      <c r="O11" s="1399"/>
      <c r="P11" s="1399"/>
      <c r="Q11" s="1399"/>
      <c r="R11" s="1399"/>
      <c r="S11" s="1399"/>
      <c r="T11" s="1399"/>
    </row>
    <row r="12" spans="1:20" ht="21" customHeight="1" x14ac:dyDescent="0.2">
      <c r="A12" s="801">
        <v>4</v>
      </c>
      <c r="B12" s="375" t="s">
        <v>395</v>
      </c>
      <c r="C12" s="1398"/>
      <c r="D12" s="1399"/>
      <c r="E12" s="1399"/>
      <c r="F12" s="1399"/>
      <c r="G12" s="1399"/>
      <c r="H12" s="1399"/>
      <c r="I12" s="1399"/>
      <c r="J12" s="1399"/>
      <c r="K12" s="1399"/>
      <c r="L12" s="1399"/>
      <c r="M12" s="1399"/>
      <c r="N12" s="1399"/>
      <c r="O12" s="1399"/>
      <c r="P12" s="1399"/>
      <c r="Q12" s="1399"/>
      <c r="R12" s="1399"/>
      <c r="S12" s="1399"/>
      <c r="T12" s="1399"/>
    </row>
    <row r="13" spans="1:20" ht="21" customHeight="1" x14ac:dyDescent="0.2">
      <c r="A13" s="801">
        <v>5</v>
      </c>
      <c r="B13" s="376" t="s">
        <v>396</v>
      </c>
      <c r="C13" s="1398"/>
      <c r="D13" s="1399"/>
      <c r="E13" s="1399"/>
      <c r="F13" s="1399"/>
      <c r="G13" s="1399"/>
      <c r="H13" s="1399"/>
      <c r="I13" s="1399"/>
      <c r="J13" s="1399"/>
      <c r="K13" s="1399"/>
      <c r="L13" s="1399"/>
      <c r="M13" s="1399"/>
      <c r="N13" s="1399"/>
      <c r="O13" s="1399"/>
      <c r="P13" s="1399"/>
      <c r="Q13" s="1399"/>
      <c r="R13" s="1399"/>
      <c r="S13" s="1399"/>
      <c r="T13" s="1399"/>
    </row>
    <row r="14" spans="1:20" ht="21" customHeight="1" x14ac:dyDescent="0.2">
      <c r="A14" s="801">
        <v>6</v>
      </c>
      <c r="B14" s="375" t="s">
        <v>397</v>
      </c>
      <c r="C14" s="1398"/>
      <c r="D14" s="1399"/>
      <c r="E14" s="1399"/>
      <c r="F14" s="1399"/>
      <c r="G14" s="1399"/>
      <c r="H14" s="1399"/>
      <c r="I14" s="1399"/>
      <c r="J14" s="1399"/>
      <c r="K14" s="1399"/>
      <c r="L14" s="1399"/>
      <c r="M14" s="1399"/>
      <c r="N14" s="1399"/>
      <c r="O14" s="1399"/>
      <c r="P14" s="1399"/>
      <c r="Q14" s="1399"/>
      <c r="R14" s="1399"/>
      <c r="S14" s="1399"/>
      <c r="T14" s="1399"/>
    </row>
    <row r="15" spans="1:20" ht="21" customHeight="1" x14ac:dyDescent="0.2">
      <c r="A15" s="801">
        <v>7</v>
      </c>
      <c r="B15" s="376" t="s">
        <v>398</v>
      </c>
      <c r="C15" s="1398"/>
      <c r="D15" s="1399"/>
      <c r="E15" s="1399"/>
      <c r="F15" s="1399"/>
      <c r="G15" s="1399"/>
      <c r="H15" s="1399"/>
      <c r="I15" s="1399"/>
      <c r="J15" s="1399"/>
      <c r="K15" s="1399"/>
      <c r="L15" s="1399"/>
      <c r="M15" s="1399"/>
      <c r="N15" s="1399"/>
      <c r="O15" s="1399"/>
      <c r="P15" s="1399"/>
      <c r="Q15" s="1399"/>
      <c r="R15" s="1399"/>
      <c r="S15" s="1399"/>
      <c r="T15" s="1399"/>
    </row>
    <row r="16" spans="1:20" ht="21" customHeight="1" x14ac:dyDescent="0.2">
      <c r="A16" s="801">
        <v>8</v>
      </c>
      <c r="B16" s="375" t="s">
        <v>399</v>
      </c>
      <c r="C16" s="1398"/>
      <c r="D16" s="1399"/>
      <c r="E16" s="1399"/>
      <c r="F16" s="1399"/>
      <c r="G16" s="1399"/>
      <c r="H16" s="1399"/>
      <c r="I16" s="1399"/>
      <c r="J16" s="1399"/>
      <c r="K16" s="1399"/>
      <c r="L16" s="1399"/>
      <c r="M16" s="1399"/>
      <c r="N16" s="1399"/>
      <c r="O16" s="1399"/>
      <c r="P16" s="1399"/>
      <c r="Q16" s="1399"/>
      <c r="R16" s="1399"/>
      <c r="S16" s="1399"/>
      <c r="T16" s="1399"/>
    </row>
    <row r="17" spans="1:20" ht="21" customHeight="1" x14ac:dyDescent="0.2">
      <c r="A17" s="801">
        <v>9</v>
      </c>
      <c r="B17" s="375" t="s">
        <v>400</v>
      </c>
      <c r="C17" s="1398"/>
      <c r="D17" s="1399"/>
      <c r="E17" s="1399"/>
      <c r="F17" s="1399"/>
      <c r="G17" s="1399"/>
      <c r="H17" s="1399"/>
      <c r="I17" s="1399"/>
      <c r="J17" s="1399"/>
      <c r="K17" s="1399"/>
      <c r="L17" s="1399"/>
      <c r="M17" s="1399"/>
      <c r="N17" s="1399"/>
      <c r="O17" s="1399"/>
      <c r="P17" s="1399"/>
      <c r="Q17" s="1399"/>
      <c r="R17" s="1399"/>
      <c r="S17" s="1399"/>
      <c r="T17" s="1399"/>
    </row>
    <row r="18" spans="1:20" ht="21" customHeight="1" x14ac:dyDescent="0.2">
      <c r="A18" s="801">
        <v>10</v>
      </c>
      <c r="B18" s="375" t="s">
        <v>401</v>
      </c>
      <c r="C18" s="1398"/>
      <c r="D18" s="1399"/>
      <c r="E18" s="1399"/>
      <c r="F18" s="1399"/>
      <c r="G18" s="1399"/>
      <c r="H18" s="1399"/>
      <c r="I18" s="1399"/>
      <c r="J18" s="1399"/>
      <c r="K18" s="1399"/>
      <c r="L18" s="1399"/>
      <c r="M18" s="1399"/>
      <c r="N18" s="1399"/>
      <c r="O18" s="1399"/>
      <c r="P18" s="1399"/>
      <c r="Q18" s="1399"/>
      <c r="R18" s="1399"/>
      <c r="S18" s="1399"/>
      <c r="T18" s="1399"/>
    </row>
    <row r="19" spans="1:20" ht="21" customHeight="1" x14ac:dyDescent="0.2">
      <c r="A19" s="801">
        <v>11</v>
      </c>
      <c r="B19" s="375" t="s">
        <v>402</v>
      </c>
      <c r="C19" s="1398"/>
      <c r="D19" s="1399"/>
      <c r="E19" s="1399"/>
      <c r="F19" s="1399"/>
      <c r="G19" s="1399"/>
      <c r="H19" s="1399"/>
      <c r="I19" s="1399"/>
      <c r="J19" s="1399"/>
      <c r="K19" s="1399"/>
      <c r="L19" s="1399"/>
      <c r="M19" s="1399"/>
      <c r="N19" s="1399"/>
      <c r="O19" s="1399"/>
      <c r="P19" s="1399"/>
      <c r="Q19" s="1399"/>
      <c r="R19" s="1399"/>
      <c r="S19" s="1399"/>
      <c r="T19" s="1399"/>
    </row>
    <row r="20" spans="1:20" ht="21" customHeight="1" x14ac:dyDescent="0.2">
      <c r="A20" s="801">
        <v>12</v>
      </c>
      <c r="B20" s="375" t="s">
        <v>403</v>
      </c>
      <c r="C20" s="1398"/>
      <c r="D20" s="1399"/>
      <c r="E20" s="1399"/>
      <c r="F20" s="1399"/>
      <c r="G20" s="1399"/>
      <c r="H20" s="1399"/>
      <c r="I20" s="1399"/>
      <c r="J20" s="1399"/>
      <c r="K20" s="1399"/>
      <c r="L20" s="1399"/>
      <c r="M20" s="1399"/>
      <c r="N20" s="1399"/>
      <c r="O20" s="1399"/>
      <c r="P20" s="1399"/>
      <c r="Q20" s="1399"/>
      <c r="R20" s="1399"/>
      <c r="S20" s="1399"/>
      <c r="T20" s="1399"/>
    </row>
    <row r="21" spans="1:20" ht="21" customHeight="1" x14ac:dyDescent="0.2">
      <c r="A21" s="801">
        <v>13</v>
      </c>
      <c r="B21" s="375" t="s">
        <v>404</v>
      </c>
      <c r="C21" s="1398"/>
      <c r="D21" s="1399"/>
      <c r="E21" s="1399"/>
      <c r="F21" s="1399"/>
      <c r="G21" s="1399"/>
      <c r="H21" s="1399"/>
      <c r="I21" s="1399"/>
      <c r="J21" s="1399"/>
      <c r="K21" s="1399"/>
      <c r="L21" s="1399"/>
      <c r="M21" s="1399"/>
      <c r="N21" s="1399"/>
      <c r="O21" s="1399"/>
      <c r="P21" s="1399"/>
      <c r="Q21" s="1399"/>
      <c r="R21" s="1399"/>
      <c r="S21" s="1399"/>
      <c r="T21" s="1399"/>
    </row>
    <row r="22" spans="1:20" ht="21" customHeight="1" x14ac:dyDescent="0.2">
      <c r="A22" s="801" t="s">
        <v>18</v>
      </c>
      <c r="B22" s="218"/>
      <c r="C22" s="263"/>
      <c r="D22" s="1393"/>
      <c r="E22" s="1394"/>
      <c r="F22" s="1395"/>
      <c r="G22" s="263"/>
      <c r="H22" s="263"/>
      <c r="I22" s="263"/>
      <c r="J22" s="263"/>
      <c r="K22" s="263"/>
      <c r="L22" s="263"/>
      <c r="M22" s="263"/>
      <c r="N22" s="263"/>
      <c r="O22" s="263"/>
      <c r="P22" s="263"/>
      <c r="Q22" s="263"/>
      <c r="R22" s="263"/>
      <c r="S22" s="14"/>
      <c r="T22" s="14"/>
    </row>
    <row r="23" spans="1:20" x14ac:dyDescent="0.2">
      <c r="A23" s="16"/>
      <c r="B23" s="16"/>
      <c r="C23" s="16"/>
      <c r="D23" s="16"/>
      <c r="E23" s="16"/>
    </row>
    <row r="24" spans="1:20" x14ac:dyDescent="0.2">
      <c r="A24" s="364" t="s">
        <v>7</v>
      </c>
      <c r="B24" s="365"/>
      <c r="C24" s="365"/>
      <c r="D24" s="366"/>
      <c r="E24" s="551"/>
      <c r="F24" s="551"/>
      <c r="G24" s="551"/>
      <c r="H24" s="551"/>
      <c r="I24" s="551"/>
      <c r="J24" s="551"/>
      <c r="K24" s="551"/>
      <c r="L24" s="551"/>
      <c r="M24" s="551"/>
      <c r="N24" s="551"/>
      <c r="O24" s="551"/>
      <c r="P24" s="551"/>
      <c r="Q24" s="551"/>
      <c r="R24" s="551"/>
    </row>
    <row r="25" spans="1:20" x14ac:dyDescent="0.2">
      <c r="A25" s="368" t="s">
        <v>8</v>
      </c>
      <c r="B25" s="368"/>
      <c r="C25" s="368"/>
      <c r="D25" s="367"/>
      <c r="E25" s="551"/>
      <c r="F25" s="551"/>
      <c r="G25" s="551"/>
      <c r="H25" s="551"/>
      <c r="I25" s="551"/>
      <c r="J25" s="551"/>
      <c r="K25" s="551"/>
      <c r="L25" s="551"/>
      <c r="M25" s="551"/>
      <c r="N25" s="551"/>
      <c r="O25" s="551"/>
      <c r="P25" s="551"/>
      <c r="Q25" s="551"/>
      <c r="R25" s="551"/>
    </row>
    <row r="26" spans="1:20" x14ac:dyDescent="0.2">
      <c r="A26" s="368" t="s">
        <v>9</v>
      </c>
      <c r="B26" s="368"/>
      <c r="C26" s="368"/>
      <c r="D26" s="367"/>
      <c r="E26" s="551"/>
      <c r="F26" s="551"/>
      <c r="G26" s="551"/>
      <c r="H26" s="551"/>
      <c r="I26" s="551"/>
      <c r="J26" s="551"/>
      <c r="K26" s="551"/>
      <c r="L26" s="551"/>
      <c r="M26" s="551"/>
      <c r="N26" s="551"/>
      <c r="O26" s="551"/>
      <c r="P26" s="551"/>
      <c r="Q26" s="551"/>
      <c r="R26" s="551"/>
    </row>
    <row r="27" spans="1:20" x14ac:dyDescent="0.2">
      <c r="A27" s="1386" t="s">
        <v>237</v>
      </c>
      <c r="B27" s="1386"/>
      <c r="C27" s="1386"/>
      <c r="D27" s="1386"/>
      <c r="E27" s="551"/>
      <c r="F27" s="551"/>
      <c r="G27" s="551"/>
      <c r="H27" s="551"/>
      <c r="I27" s="551"/>
      <c r="J27" s="551"/>
      <c r="K27" s="551"/>
      <c r="L27" s="551"/>
      <c r="M27" s="551"/>
      <c r="N27" s="551"/>
      <c r="O27" s="551"/>
      <c r="P27" s="551"/>
      <c r="Q27" s="551"/>
      <c r="R27" s="551"/>
    </row>
    <row r="28" spans="1:20" x14ac:dyDescent="0.2">
      <c r="A28" s="551"/>
      <c r="B28" s="551"/>
      <c r="C28" s="551"/>
      <c r="D28" s="551"/>
      <c r="E28" s="551"/>
      <c r="F28" s="551"/>
      <c r="G28" s="551"/>
      <c r="H28" s="551"/>
      <c r="I28" s="551"/>
      <c r="J28" s="551"/>
      <c r="K28" s="551"/>
      <c r="L28" s="551"/>
      <c r="M28" s="551"/>
      <c r="N28" s="551"/>
      <c r="O28" s="551"/>
      <c r="P28" s="551"/>
      <c r="Q28" s="551"/>
      <c r="R28" s="551"/>
    </row>
    <row r="29" spans="1:20" x14ac:dyDescent="0.2">
      <c r="A29" s="551"/>
      <c r="B29" s="551"/>
      <c r="C29" s="551"/>
      <c r="D29" s="551"/>
      <c r="E29" s="551"/>
      <c r="F29" s="551"/>
      <c r="G29" s="551"/>
      <c r="H29" s="551"/>
      <c r="I29" s="551"/>
      <c r="J29" s="551"/>
      <c r="K29" s="551"/>
      <c r="L29" s="551"/>
      <c r="M29" s="551"/>
      <c r="N29" s="551"/>
      <c r="O29" s="551"/>
      <c r="P29" s="551"/>
      <c r="Q29" s="551"/>
      <c r="R29" s="551"/>
    </row>
    <row r="30" spans="1:20" x14ac:dyDescent="0.2">
      <c r="A30" s="551"/>
      <c r="B30" s="551"/>
      <c r="C30" s="551"/>
      <c r="D30" s="551"/>
      <c r="E30" s="551"/>
      <c r="F30" s="551"/>
      <c r="G30" s="551"/>
      <c r="H30" s="551"/>
      <c r="I30" s="551"/>
      <c r="J30" s="551"/>
      <c r="K30" s="551"/>
      <c r="L30" s="551"/>
      <c r="M30" s="551"/>
      <c r="N30" s="551"/>
      <c r="O30" s="551"/>
      <c r="P30" s="551"/>
      <c r="Q30" s="551"/>
      <c r="R30" s="551"/>
    </row>
    <row r="31" spans="1:20" x14ac:dyDescent="0.2">
      <c r="A31" s="551"/>
      <c r="B31" s="551"/>
      <c r="C31" s="551"/>
      <c r="D31" s="551"/>
      <c r="E31" s="551"/>
      <c r="F31" s="551"/>
      <c r="G31" s="551"/>
      <c r="H31" s="551"/>
      <c r="I31" s="551"/>
      <c r="J31" s="551"/>
      <c r="K31" s="551"/>
      <c r="L31" s="551"/>
      <c r="M31" s="551"/>
      <c r="N31" s="551"/>
      <c r="O31" s="551"/>
      <c r="P31" s="551"/>
      <c r="Q31" s="551"/>
      <c r="R31" s="551"/>
    </row>
    <row r="32" spans="1:20" x14ac:dyDescent="0.2">
      <c r="A32" s="551"/>
      <c r="B32" s="551"/>
      <c r="C32" s="551"/>
      <c r="D32" s="551"/>
      <c r="E32" s="551"/>
      <c r="F32" s="551"/>
      <c r="G32" s="551"/>
      <c r="H32" s="551"/>
      <c r="I32" s="551"/>
      <c r="J32" s="551"/>
      <c r="K32" s="551"/>
      <c r="L32" s="551"/>
      <c r="M32" s="551"/>
      <c r="N32" s="551"/>
      <c r="O32" s="551"/>
      <c r="P32" s="551"/>
      <c r="Q32" s="551"/>
      <c r="R32" s="551"/>
    </row>
    <row r="33" spans="1:18" x14ac:dyDescent="0.2">
      <c r="A33" s="11"/>
      <c r="B33" s="11"/>
      <c r="C33" s="11"/>
    </row>
    <row r="34" spans="1:18" x14ac:dyDescent="0.2">
      <c r="A34" s="11" t="s">
        <v>11</v>
      </c>
      <c r="D34" s="11"/>
      <c r="E34" s="11"/>
      <c r="H34" s="11"/>
      <c r="I34" s="11"/>
      <c r="J34" s="11"/>
      <c r="K34" s="11"/>
      <c r="L34" s="11"/>
      <c r="M34" s="11"/>
      <c r="N34" s="11"/>
      <c r="O34" s="11"/>
      <c r="P34" s="11"/>
      <c r="Q34" s="1086" t="s">
        <v>12</v>
      </c>
      <c r="R34" s="1086"/>
    </row>
    <row r="35" spans="1:18" ht="12.75" customHeight="1" x14ac:dyDescent="0.2">
      <c r="G35" s="11"/>
      <c r="H35" s="1385" t="s">
        <v>13</v>
      </c>
      <c r="I35" s="1385"/>
      <c r="J35" s="1385"/>
      <c r="K35" s="1385"/>
      <c r="L35" s="1385"/>
      <c r="M35" s="1385"/>
      <c r="N35" s="1385"/>
      <c r="O35" s="1385"/>
      <c r="P35" s="1385"/>
      <c r="Q35" s="1385"/>
      <c r="R35" s="1385"/>
    </row>
    <row r="36" spans="1:18" ht="12.75" customHeight="1" x14ac:dyDescent="0.2">
      <c r="G36" s="1385" t="s">
        <v>88</v>
      </c>
      <c r="H36" s="1385"/>
      <c r="I36" s="1385"/>
      <c r="J36" s="1385"/>
      <c r="K36" s="1385"/>
      <c r="L36" s="1385"/>
      <c r="M36" s="1385"/>
      <c r="N36" s="1385"/>
      <c r="O36" s="1385"/>
      <c r="P36" s="1385"/>
      <c r="Q36" s="1385"/>
      <c r="R36" s="1385"/>
    </row>
    <row r="37" spans="1:18" x14ac:dyDescent="0.2">
      <c r="A37" s="11"/>
      <c r="B37" s="11"/>
      <c r="H37" s="11"/>
      <c r="I37" s="11"/>
      <c r="J37" s="11"/>
      <c r="K37" s="11"/>
      <c r="L37" s="11"/>
      <c r="M37" s="11"/>
      <c r="N37" s="11"/>
      <c r="O37" s="11"/>
      <c r="P37" s="11"/>
      <c r="Q37" s="11"/>
      <c r="R37" s="11" t="s">
        <v>85</v>
      </c>
    </row>
    <row r="39" spans="1:18" x14ac:dyDescent="0.2">
      <c r="A39" s="1082"/>
      <c r="B39" s="1082"/>
      <c r="C39" s="1082"/>
      <c r="D39" s="1082"/>
      <c r="E39" s="1082"/>
      <c r="F39" s="1082"/>
      <c r="G39" s="1082"/>
      <c r="H39" s="1082"/>
      <c r="I39" s="1082"/>
      <c r="J39" s="1082"/>
      <c r="K39" s="1082"/>
      <c r="L39" s="1082"/>
      <c r="M39" s="1082"/>
      <c r="N39" s="1082"/>
      <c r="O39" s="1082"/>
      <c r="P39" s="1082"/>
      <c r="Q39" s="1082"/>
      <c r="R39" s="1082"/>
    </row>
  </sheetData>
  <mergeCells count="22">
    <mergeCell ref="H35:R35"/>
    <mergeCell ref="G36:R36"/>
    <mergeCell ref="A39:R39"/>
    <mergeCell ref="O6:T6"/>
    <mergeCell ref="D8:F8"/>
    <mergeCell ref="C9:T21"/>
    <mergeCell ref="D22:F22"/>
    <mergeCell ref="A27:D27"/>
    <mergeCell ref="Q34:R34"/>
    <mergeCell ref="A6:A7"/>
    <mergeCell ref="B6:B7"/>
    <mergeCell ref="C6:C7"/>
    <mergeCell ref="D6:F7"/>
    <mergeCell ref="G6:J6"/>
    <mergeCell ref="K6:N6"/>
    <mergeCell ref="A5:C5"/>
    <mergeCell ref="I5:R5"/>
    <mergeCell ref="D1:G1"/>
    <mergeCell ref="Q1:R1"/>
    <mergeCell ref="A2:R2"/>
    <mergeCell ref="A3:R3"/>
    <mergeCell ref="A4:R4"/>
  </mergeCells>
  <printOptions horizontalCentered="1"/>
  <pageMargins left="0.22" right="0.18" top="0.23622047244094491" bottom="0" header="0.31496062992125984" footer="0.31496062992125984"/>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pageSetUpPr fitToPage="1"/>
  </sheetPr>
  <dimension ref="A2:J32"/>
  <sheetViews>
    <sheetView view="pageBreakPreview" zoomScaleSheetLayoutView="100" workbookViewId="0">
      <selection activeCell="G13" sqref="G13"/>
    </sheetView>
  </sheetViews>
  <sheetFormatPr defaultRowHeight="12.75" x14ac:dyDescent="0.2"/>
  <cols>
    <col min="1" max="1" width="8.28515625" customWidth="1"/>
    <col min="2" max="2" width="13.140625" customWidth="1"/>
    <col min="3" max="3" width="14.42578125" customWidth="1"/>
    <col min="4" max="4" width="14.85546875" customWidth="1"/>
    <col min="5" max="5" width="18.42578125" customWidth="1"/>
    <col min="6" max="6" width="17.140625" customWidth="1"/>
    <col min="7" max="7" width="19" customWidth="1"/>
    <col min="8" max="8" width="28.5703125" customWidth="1"/>
  </cols>
  <sheetData>
    <row r="2" spans="1:10" ht="11.25" customHeight="1" x14ac:dyDescent="0.35">
      <c r="A2" s="129"/>
      <c r="B2" s="129"/>
      <c r="C2" s="129"/>
      <c r="D2" s="129"/>
      <c r="E2" s="129"/>
      <c r="F2" s="129"/>
      <c r="G2" s="129"/>
      <c r="H2" s="469" t="s">
        <v>286</v>
      </c>
    </row>
    <row r="3" spans="1:10" ht="15.75" x14ac:dyDescent="0.25">
      <c r="A3" s="1056" t="s">
        <v>59</v>
      </c>
      <c r="B3" s="1056"/>
      <c r="C3" s="1056"/>
      <c r="D3" s="1056"/>
      <c r="E3" s="1056"/>
      <c r="F3" s="1056"/>
      <c r="G3" s="1056"/>
      <c r="H3" s="1056"/>
    </row>
    <row r="4" spans="1:10" ht="15.75" x14ac:dyDescent="0.25">
      <c r="A4" s="1056" t="s">
        <v>794</v>
      </c>
      <c r="B4" s="1056"/>
      <c r="C4" s="1056"/>
      <c r="D4" s="1056"/>
      <c r="E4" s="1056"/>
      <c r="F4" s="1056"/>
      <c r="G4" s="1056"/>
      <c r="H4" s="1056"/>
    </row>
    <row r="5" spans="1:10" ht="18" customHeight="1" x14ac:dyDescent="0.3">
      <c r="A5" s="1057" t="s">
        <v>795</v>
      </c>
      <c r="B5" s="1057"/>
      <c r="C5" s="1057"/>
      <c r="D5" s="1057"/>
      <c r="E5" s="1057"/>
      <c r="F5" s="1057"/>
      <c r="G5" s="1057"/>
      <c r="H5" s="1057"/>
    </row>
    <row r="6" spans="1:10" ht="8.25" customHeight="1" x14ac:dyDescent="0.2"/>
    <row r="7" spans="1:10" x14ac:dyDescent="0.2">
      <c r="A7" s="467" t="s">
        <v>463</v>
      </c>
      <c r="B7" s="467"/>
      <c r="C7" s="467"/>
      <c r="D7" s="468"/>
      <c r="E7" s="468"/>
      <c r="F7" s="468"/>
      <c r="G7" s="1058" t="s">
        <v>910</v>
      </c>
      <c r="H7" s="1058"/>
    </row>
    <row r="8" spans="1:10" ht="55.5" customHeight="1" x14ac:dyDescent="0.2">
      <c r="A8" s="231" t="s">
        <v>2</v>
      </c>
      <c r="B8" s="231" t="s">
        <v>3</v>
      </c>
      <c r="C8" s="465" t="s">
        <v>287</v>
      </c>
      <c r="D8" s="465" t="s">
        <v>288</v>
      </c>
      <c r="E8" s="465" t="s">
        <v>289</v>
      </c>
      <c r="F8" s="466" t="s">
        <v>290</v>
      </c>
      <c r="G8" s="466" t="s">
        <v>291</v>
      </c>
      <c r="H8" s="138" t="s">
        <v>292</v>
      </c>
    </row>
    <row r="9" spans="1:10" s="112" customFormat="1" ht="15" x14ac:dyDescent="0.25">
      <c r="A9" s="224" t="s">
        <v>293</v>
      </c>
      <c r="B9" s="224" t="s">
        <v>294</v>
      </c>
      <c r="C9" s="224" t="s">
        <v>295</v>
      </c>
      <c r="D9" s="224" t="s">
        <v>296</v>
      </c>
      <c r="E9" s="224" t="s">
        <v>297</v>
      </c>
      <c r="F9" s="224" t="s">
        <v>298</v>
      </c>
      <c r="G9" s="224" t="s">
        <v>299</v>
      </c>
      <c r="H9" s="224" t="s">
        <v>300</v>
      </c>
    </row>
    <row r="10" spans="1:10" ht="24.95" customHeight="1" x14ac:dyDescent="0.2">
      <c r="A10" s="194">
        <v>1</v>
      </c>
      <c r="B10" s="225" t="s">
        <v>392</v>
      </c>
      <c r="C10" s="226">
        <v>1418</v>
      </c>
      <c r="D10" s="226">
        <v>500</v>
      </c>
      <c r="E10" s="226">
        <v>3</v>
      </c>
      <c r="F10" s="226">
        <f>C10+D10+E10</f>
        <v>1921</v>
      </c>
      <c r="G10" s="348">
        <v>1864</v>
      </c>
      <c r="H10" s="434" t="s">
        <v>945</v>
      </c>
    </row>
    <row r="11" spans="1:10" ht="24.95" customHeight="1" x14ac:dyDescent="0.2">
      <c r="A11" s="194">
        <v>2</v>
      </c>
      <c r="B11" s="225" t="s">
        <v>393</v>
      </c>
      <c r="C11" s="226">
        <v>611</v>
      </c>
      <c r="D11" s="226">
        <v>226</v>
      </c>
      <c r="E11" s="226">
        <v>0</v>
      </c>
      <c r="F11" s="226">
        <f t="shared" ref="F11:F22" si="0">C11+D11+E11</f>
        <v>837</v>
      </c>
      <c r="G11" s="348">
        <v>819</v>
      </c>
      <c r="H11" s="350" t="s">
        <v>839</v>
      </c>
    </row>
    <row r="12" spans="1:10" ht="24.95" customHeight="1" x14ac:dyDescent="0.2">
      <c r="A12" s="194">
        <v>3</v>
      </c>
      <c r="B12" s="225" t="s">
        <v>394</v>
      </c>
      <c r="C12" s="226">
        <v>1039</v>
      </c>
      <c r="D12" s="226">
        <v>429</v>
      </c>
      <c r="E12" s="226">
        <v>0</v>
      </c>
      <c r="F12" s="226">
        <f t="shared" si="0"/>
        <v>1468</v>
      </c>
      <c r="G12" s="348">
        <v>1406</v>
      </c>
      <c r="H12" s="350" t="s">
        <v>946</v>
      </c>
      <c r="J12" s="834"/>
    </row>
    <row r="13" spans="1:10" ht="24.95" customHeight="1" x14ac:dyDescent="0.2">
      <c r="A13" s="194">
        <v>4</v>
      </c>
      <c r="B13" s="225" t="s">
        <v>395</v>
      </c>
      <c r="C13" s="226">
        <v>516</v>
      </c>
      <c r="D13" s="226">
        <v>202</v>
      </c>
      <c r="E13" s="226">
        <v>0</v>
      </c>
      <c r="F13" s="226">
        <f t="shared" si="0"/>
        <v>718</v>
      </c>
      <c r="G13" s="348">
        <v>714</v>
      </c>
      <c r="H13" s="350" t="s">
        <v>838</v>
      </c>
      <c r="J13" s="834"/>
    </row>
    <row r="14" spans="1:10" ht="24.95" customHeight="1" x14ac:dyDescent="0.2">
      <c r="A14" s="194">
        <v>5</v>
      </c>
      <c r="B14" s="227" t="s">
        <v>396</v>
      </c>
      <c r="C14" s="226">
        <v>999</v>
      </c>
      <c r="D14" s="226">
        <v>477</v>
      </c>
      <c r="E14" s="226">
        <v>23</v>
      </c>
      <c r="F14" s="226">
        <f t="shared" si="0"/>
        <v>1499</v>
      </c>
      <c r="G14" s="348">
        <v>1442</v>
      </c>
      <c r="H14" s="350"/>
      <c r="J14" s="834"/>
    </row>
    <row r="15" spans="1:10" ht="24.95" customHeight="1" x14ac:dyDescent="0.2">
      <c r="A15" s="194">
        <v>6</v>
      </c>
      <c r="B15" s="225" t="s">
        <v>397</v>
      </c>
      <c r="C15" s="226">
        <v>751</v>
      </c>
      <c r="D15" s="226">
        <v>306</v>
      </c>
      <c r="E15" s="226">
        <v>29</v>
      </c>
      <c r="F15" s="226">
        <f t="shared" si="0"/>
        <v>1086</v>
      </c>
      <c r="G15" s="348">
        <v>1086</v>
      </c>
      <c r="H15" s="603"/>
    </row>
    <row r="16" spans="1:10" ht="24.95" customHeight="1" x14ac:dyDescent="0.2">
      <c r="A16" s="194">
        <v>7</v>
      </c>
      <c r="B16" s="227" t="s">
        <v>398</v>
      </c>
      <c r="C16" s="226">
        <v>996</v>
      </c>
      <c r="D16" s="226">
        <v>459</v>
      </c>
      <c r="E16" s="226">
        <v>6</v>
      </c>
      <c r="F16" s="226">
        <f t="shared" si="0"/>
        <v>1461</v>
      </c>
      <c r="G16" s="348">
        <v>1427</v>
      </c>
      <c r="H16" s="350"/>
    </row>
    <row r="17" spans="1:8" ht="24.95" customHeight="1" x14ac:dyDescent="0.2">
      <c r="A17" s="194">
        <v>8</v>
      </c>
      <c r="B17" s="225" t="s">
        <v>399</v>
      </c>
      <c r="C17" s="226">
        <v>1700</v>
      </c>
      <c r="D17" s="226">
        <v>676</v>
      </c>
      <c r="E17" s="226">
        <v>7</v>
      </c>
      <c r="F17" s="226">
        <f t="shared" si="0"/>
        <v>2383</v>
      </c>
      <c r="G17" s="348">
        <v>2224</v>
      </c>
      <c r="H17" s="434" t="s">
        <v>949</v>
      </c>
    </row>
    <row r="18" spans="1:8" ht="24.95" customHeight="1" x14ac:dyDescent="0.2">
      <c r="A18" s="194">
        <v>9</v>
      </c>
      <c r="B18" s="225" t="s">
        <v>400</v>
      </c>
      <c r="C18" s="226">
        <v>1189</v>
      </c>
      <c r="D18" s="226">
        <v>452</v>
      </c>
      <c r="E18" s="226">
        <v>8</v>
      </c>
      <c r="F18" s="226">
        <f t="shared" si="0"/>
        <v>1649</v>
      </c>
      <c r="G18" s="348">
        <v>1559</v>
      </c>
      <c r="H18" s="350" t="s">
        <v>950</v>
      </c>
    </row>
    <row r="19" spans="1:8" ht="24.95" customHeight="1" x14ac:dyDescent="0.2">
      <c r="A19" s="194">
        <v>10</v>
      </c>
      <c r="B19" s="225" t="s">
        <v>401</v>
      </c>
      <c r="C19" s="226">
        <v>569</v>
      </c>
      <c r="D19" s="226">
        <v>269</v>
      </c>
      <c r="E19" s="226">
        <v>0</v>
      </c>
      <c r="F19" s="226">
        <f t="shared" si="0"/>
        <v>838</v>
      </c>
      <c r="G19" s="348">
        <v>814</v>
      </c>
      <c r="H19" s="350" t="s">
        <v>842</v>
      </c>
    </row>
    <row r="20" spans="1:8" ht="24.95" customHeight="1" x14ac:dyDescent="0.2">
      <c r="A20" s="194">
        <v>11</v>
      </c>
      <c r="B20" s="225" t="s">
        <v>402</v>
      </c>
      <c r="C20" s="226">
        <v>1476</v>
      </c>
      <c r="D20" s="226">
        <v>609</v>
      </c>
      <c r="E20" s="226">
        <v>1</v>
      </c>
      <c r="F20" s="226">
        <f t="shared" si="0"/>
        <v>2086</v>
      </c>
      <c r="G20" s="348">
        <v>1988</v>
      </c>
      <c r="H20" s="350" t="s">
        <v>841</v>
      </c>
    </row>
    <row r="21" spans="1:8" ht="24.95" customHeight="1" x14ac:dyDescent="0.2">
      <c r="A21" s="194">
        <v>12</v>
      </c>
      <c r="B21" s="225" t="s">
        <v>403</v>
      </c>
      <c r="C21" s="226">
        <v>860</v>
      </c>
      <c r="D21" s="226">
        <v>402</v>
      </c>
      <c r="E21" s="226">
        <v>4</v>
      </c>
      <c r="F21" s="226">
        <f t="shared" si="0"/>
        <v>1266</v>
      </c>
      <c r="G21" s="348">
        <v>1255</v>
      </c>
      <c r="H21" s="350"/>
    </row>
    <row r="22" spans="1:8" ht="24.95" customHeight="1" x14ac:dyDescent="0.2">
      <c r="A22" s="194">
        <v>13</v>
      </c>
      <c r="B22" s="225" t="s">
        <v>404</v>
      </c>
      <c r="C22" s="226">
        <v>769</v>
      </c>
      <c r="D22" s="226">
        <v>342</v>
      </c>
      <c r="E22" s="226">
        <v>1</v>
      </c>
      <c r="F22" s="226">
        <f t="shared" si="0"/>
        <v>1112</v>
      </c>
      <c r="G22" s="348">
        <v>1066</v>
      </c>
      <c r="H22" s="350"/>
    </row>
    <row r="23" spans="1:8" ht="20.100000000000001" customHeight="1" x14ac:dyDescent="0.2">
      <c r="A23" s="194" t="s">
        <v>18</v>
      </c>
      <c r="B23" s="218"/>
      <c r="C23" s="194">
        <f>SUM(C10:C22)</f>
        <v>12893</v>
      </c>
      <c r="D23" s="194">
        <f>SUM(D10:D22)</f>
        <v>5349</v>
      </c>
      <c r="E23" s="194">
        <f>SUM(E10:E22)</f>
        <v>82</v>
      </c>
      <c r="F23" s="194">
        <f>SUM(F10:F22)</f>
        <v>18324</v>
      </c>
      <c r="G23" s="194">
        <f>SUM(G10:G22)</f>
        <v>17664</v>
      </c>
      <c r="H23" s="603"/>
    </row>
    <row r="24" spans="1:8" x14ac:dyDescent="0.2">
      <c r="A24" s="115" t="s">
        <v>301</v>
      </c>
    </row>
    <row r="25" spans="1:8" x14ac:dyDescent="0.2">
      <c r="A25" s="115"/>
    </row>
    <row r="26" spans="1:8" x14ac:dyDescent="0.2">
      <c r="A26" s="115"/>
      <c r="G26" s="772"/>
    </row>
    <row r="27" spans="1:8" ht="13.5" customHeight="1" x14ac:dyDescent="0.2"/>
    <row r="28" spans="1:8" x14ac:dyDescent="0.2">
      <c r="A28" s="116"/>
      <c r="B28" s="116"/>
      <c r="C28" s="116"/>
      <c r="D28" s="116"/>
      <c r="E28" s="116"/>
      <c r="F28" s="11"/>
      <c r="G28" s="1010" t="s">
        <v>12</v>
      </c>
      <c r="H28" s="1010"/>
    </row>
    <row r="29" spans="1:8" x14ac:dyDescent="0.2">
      <c r="A29" s="116"/>
      <c r="B29" s="116"/>
      <c r="C29" s="116"/>
      <c r="D29" s="116"/>
      <c r="E29" s="116"/>
      <c r="F29" s="1010" t="s">
        <v>13</v>
      </c>
      <c r="G29" s="1010"/>
      <c r="H29" s="1010"/>
    </row>
    <row r="30" spans="1:8" x14ac:dyDescent="0.2">
      <c r="A30" s="116"/>
      <c r="B30" s="116"/>
      <c r="C30" s="116"/>
      <c r="D30" s="116"/>
      <c r="E30" s="116"/>
      <c r="F30" s="1010" t="s">
        <v>625</v>
      </c>
      <c r="G30" s="1010"/>
      <c r="H30" s="1010"/>
    </row>
    <row r="31" spans="1:8" x14ac:dyDescent="0.2">
      <c r="A31" s="116" t="s">
        <v>11</v>
      </c>
      <c r="C31" s="116"/>
      <c r="D31" s="116"/>
      <c r="E31" s="116"/>
      <c r="F31" s="11"/>
      <c r="G31" s="1" t="s">
        <v>85</v>
      </c>
      <c r="H31" s="1"/>
    </row>
    <row r="32" spans="1:8" x14ac:dyDescent="0.2">
      <c r="A32" s="116"/>
      <c r="B32" s="116"/>
      <c r="C32" s="116"/>
      <c r="D32" s="116"/>
      <c r="E32" s="116"/>
      <c r="F32" s="116"/>
      <c r="G32" s="116"/>
      <c r="H32" s="116"/>
    </row>
  </sheetData>
  <mergeCells count="7">
    <mergeCell ref="F30:H30"/>
    <mergeCell ref="A4:H4"/>
    <mergeCell ref="A3:H3"/>
    <mergeCell ref="A5:H5"/>
    <mergeCell ref="G7:H7"/>
    <mergeCell ref="G28:H28"/>
    <mergeCell ref="F29:H29"/>
  </mergeCells>
  <printOptions horizontalCentered="1"/>
  <pageMargins left="0.37" right="0.36" top="0.23622047244094491" bottom="0" header="0.31496062992125984" footer="0.31496062992125984"/>
  <pageSetup paperSize="9" scale="9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39"/>
  <sheetViews>
    <sheetView view="pageBreakPreview" zoomScale="90" zoomScaleSheetLayoutView="90" workbookViewId="0">
      <selection activeCell="C9" sqref="C9:T21"/>
    </sheetView>
  </sheetViews>
  <sheetFormatPr defaultRowHeight="12.75" x14ac:dyDescent="0.2"/>
  <cols>
    <col min="1" max="1" width="6.5703125" style="803" customWidth="1"/>
    <col min="2" max="2" width="15.42578125" style="803" customWidth="1"/>
    <col min="3" max="3" width="17.85546875" style="803" customWidth="1"/>
    <col min="4" max="4" width="10.85546875" style="803" customWidth="1"/>
    <col min="5" max="5" width="4.5703125" style="803" customWidth="1"/>
    <col min="6" max="6" width="0.28515625" style="803" hidden="1" customWidth="1"/>
    <col min="7" max="7" width="8.7109375" style="803" customWidth="1"/>
    <col min="8" max="8" width="8" style="803" customWidth="1"/>
    <col min="9" max="14" width="8.140625" style="803" customWidth="1"/>
    <col min="15" max="20" width="10" style="803" customWidth="1"/>
    <col min="21" max="16384" width="9.140625" style="803"/>
  </cols>
  <sheetData>
    <row r="1" spans="1:20" ht="15" x14ac:dyDescent="0.2">
      <c r="D1" s="985"/>
      <c r="E1" s="985"/>
      <c r="F1" s="985"/>
      <c r="G1" s="985"/>
      <c r="S1" s="1161" t="s">
        <v>705</v>
      </c>
      <c r="T1" s="1161"/>
    </row>
    <row r="2" spans="1:20" ht="15.75" x14ac:dyDescent="0.25">
      <c r="A2" s="1056" t="s">
        <v>0</v>
      </c>
      <c r="B2" s="1056"/>
      <c r="C2" s="1056"/>
      <c r="D2" s="1056"/>
      <c r="E2" s="1056"/>
      <c r="F2" s="1056"/>
      <c r="G2" s="1056"/>
      <c r="H2" s="1056"/>
      <c r="I2" s="1056"/>
      <c r="J2" s="1056"/>
      <c r="K2" s="1056"/>
      <c r="L2" s="1056"/>
      <c r="M2" s="1056"/>
      <c r="N2" s="1056"/>
      <c r="O2" s="1056"/>
      <c r="P2" s="1056"/>
      <c r="Q2" s="1056"/>
      <c r="R2" s="1056"/>
    </row>
    <row r="3" spans="1:20" ht="15.75" x14ac:dyDescent="0.25">
      <c r="A3" s="1056" t="s">
        <v>794</v>
      </c>
      <c r="B3" s="1056"/>
      <c r="C3" s="1056"/>
      <c r="D3" s="1056"/>
      <c r="E3" s="1056"/>
      <c r="F3" s="1056"/>
      <c r="G3" s="1056"/>
      <c r="H3" s="1056"/>
      <c r="I3" s="1056"/>
      <c r="J3" s="1056"/>
      <c r="K3" s="1056"/>
      <c r="L3" s="1056"/>
      <c r="M3" s="1056"/>
      <c r="N3" s="1056"/>
      <c r="O3" s="1056"/>
      <c r="P3" s="1056"/>
      <c r="Q3" s="1056"/>
      <c r="R3" s="1056"/>
      <c r="S3" s="70"/>
    </row>
    <row r="4" spans="1:20" s="48" customFormat="1" ht="15.75" customHeight="1" x14ac:dyDescent="0.25">
      <c r="A4" s="1115" t="s">
        <v>708</v>
      </c>
      <c r="B4" s="1115"/>
      <c r="C4" s="1115"/>
      <c r="D4" s="1115"/>
      <c r="E4" s="1115"/>
      <c r="F4" s="1115"/>
      <c r="G4" s="1115"/>
      <c r="H4" s="1115"/>
      <c r="I4" s="1115"/>
      <c r="J4" s="1115"/>
      <c r="K4" s="1115"/>
      <c r="L4" s="1115"/>
      <c r="M4" s="1115"/>
      <c r="N4" s="1115"/>
      <c r="O4" s="1115"/>
      <c r="P4" s="1115"/>
      <c r="Q4" s="1115"/>
      <c r="R4" s="1115"/>
    </row>
    <row r="5" spans="1:20" ht="21.75" customHeight="1" x14ac:dyDescent="0.2">
      <c r="A5" s="1162" t="s">
        <v>463</v>
      </c>
      <c r="B5" s="1162"/>
      <c r="C5" s="1162"/>
      <c r="D5" s="804"/>
      <c r="E5" s="804"/>
      <c r="I5" s="1390"/>
      <c r="J5" s="1390"/>
      <c r="K5" s="1390"/>
      <c r="L5" s="1390"/>
      <c r="M5" s="1390"/>
      <c r="N5" s="1390"/>
      <c r="O5" s="1390"/>
      <c r="P5" s="1390"/>
      <c r="Q5" s="1390"/>
      <c r="R5" s="1390"/>
    </row>
    <row r="6" spans="1:20" ht="30.75" customHeight="1" x14ac:dyDescent="0.2">
      <c r="A6" s="1066" t="s">
        <v>2</v>
      </c>
      <c r="B6" s="1066" t="s">
        <v>3</v>
      </c>
      <c r="C6" s="1066" t="s">
        <v>700</v>
      </c>
      <c r="D6" s="1145" t="s">
        <v>86</v>
      </c>
      <c r="E6" s="1146"/>
      <c r="F6" s="1147"/>
      <c r="G6" s="1090" t="s">
        <v>87</v>
      </c>
      <c r="H6" s="1091"/>
      <c r="I6" s="1091"/>
      <c r="J6" s="1092"/>
      <c r="K6" s="1090" t="s">
        <v>96</v>
      </c>
      <c r="L6" s="1091"/>
      <c r="M6" s="1091"/>
      <c r="N6" s="1092"/>
      <c r="O6" s="1064" t="s">
        <v>885</v>
      </c>
      <c r="P6" s="1064"/>
      <c r="Q6" s="1064"/>
      <c r="R6" s="1064"/>
      <c r="S6" s="1064"/>
      <c r="T6" s="1064"/>
    </row>
    <row r="7" spans="1:20" ht="45.75" customHeight="1" x14ac:dyDescent="0.2">
      <c r="A7" s="1067"/>
      <c r="B7" s="1067"/>
      <c r="C7" s="1067"/>
      <c r="D7" s="1304"/>
      <c r="E7" s="1391"/>
      <c r="F7" s="1392"/>
      <c r="G7" s="805" t="s">
        <v>197</v>
      </c>
      <c r="H7" s="805" t="s">
        <v>121</v>
      </c>
      <c r="I7" s="805" t="s">
        <v>122</v>
      </c>
      <c r="J7" s="306" t="s">
        <v>524</v>
      </c>
      <c r="K7" s="805" t="s">
        <v>150</v>
      </c>
      <c r="L7" s="805" t="s">
        <v>151</v>
      </c>
      <c r="M7" s="805" t="s">
        <v>152</v>
      </c>
      <c r="N7" s="306" t="s">
        <v>524</v>
      </c>
      <c r="O7" s="805" t="s">
        <v>879</v>
      </c>
      <c r="P7" s="805" t="s">
        <v>884</v>
      </c>
      <c r="Q7" s="805" t="s">
        <v>882</v>
      </c>
      <c r="R7" s="805" t="s">
        <v>883</v>
      </c>
      <c r="S7" s="805" t="s">
        <v>880</v>
      </c>
      <c r="T7" s="805" t="s">
        <v>881</v>
      </c>
    </row>
    <row r="8" spans="1:20" s="11" customFormat="1" ht="19.5" customHeight="1" x14ac:dyDescent="0.2">
      <c r="A8" s="802">
        <v>1</v>
      </c>
      <c r="B8" s="802">
        <v>2</v>
      </c>
      <c r="C8" s="802">
        <v>3</v>
      </c>
      <c r="D8" s="1090">
        <v>4</v>
      </c>
      <c r="E8" s="1091"/>
      <c r="F8" s="1092"/>
      <c r="G8" s="802">
        <v>5</v>
      </c>
      <c r="H8" s="802">
        <v>6</v>
      </c>
      <c r="I8" s="802">
        <v>7</v>
      </c>
      <c r="J8" s="802">
        <v>8</v>
      </c>
      <c r="K8" s="802">
        <v>9</v>
      </c>
      <c r="L8" s="802">
        <v>10</v>
      </c>
      <c r="M8" s="802">
        <v>11</v>
      </c>
      <c r="N8" s="802">
        <v>12</v>
      </c>
      <c r="O8" s="802">
        <v>13</v>
      </c>
      <c r="P8" s="802">
        <v>14</v>
      </c>
      <c r="Q8" s="802">
        <v>15</v>
      </c>
      <c r="R8" s="802">
        <v>16</v>
      </c>
      <c r="S8" s="802">
        <v>17</v>
      </c>
      <c r="T8" s="802">
        <v>18</v>
      </c>
    </row>
    <row r="9" spans="1:20" ht="21" customHeight="1" x14ac:dyDescent="0.2">
      <c r="A9" s="801">
        <v>1</v>
      </c>
      <c r="B9" s="375" t="s">
        <v>392</v>
      </c>
      <c r="C9" s="1396" t="s">
        <v>406</v>
      </c>
      <c r="D9" s="1397"/>
      <c r="E9" s="1397"/>
      <c r="F9" s="1397"/>
      <c r="G9" s="1397"/>
      <c r="H9" s="1397"/>
      <c r="I9" s="1397"/>
      <c r="J9" s="1397"/>
      <c r="K9" s="1397"/>
      <c r="L9" s="1397"/>
      <c r="M9" s="1397"/>
      <c r="N9" s="1397"/>
      <c r="O9" s="1397"/>
      <c r="P9" s="1397"/>
      <c r="Q9" s="1397"/>
      <c r="R9" s="1397"/>
      <c r="S9" s="1397"/>
      <c r="T9" s="1397"/>
    </row>
    <row r="10" spans="1:20" ht="21" customHeight="1" x14ac:dyDescent="0.2">
      <c r="A10" s="801">
        <v>2</v>
      </c>
      <c r="B10" s="375" t="s">
        <v>393</v>
      </c>
      <c r="C10" s="1398"/>
      <c r="D10" s="1399"/>
      <c r="E10" s="1399"/>
      <c r="F10" s="1399"/>
      <c r="G10" s="1399"/>
      <c r="H10" s="1399"/>
      <c r="I10" s="1399"/>
      <c r="J10" s="1399"/>
      <c r="K10" s="1399"/>
      <c r="L10" s="1399"/>
      <c r="M10" s="1399"/>
      <c r="N10" s="1399"/>
      <c r="O10" s="1399"/>
      <c r="P10" s="1399"/>
      <c r="Q10" s="1399"/>
      <c r="R10" s="1399"/>
      <c r="S10" s="1399"/>
      <c r="T10" s="1399"/>
    </row>
    <row r="11" spans="1:20" ht="21" customHeight="1" x14ac:dyDescent="0.2">
      <c r="A11" s="801">
        <v>3</v>
      </c>
      <c r="B11" s="375" t="s">
        <v>394</v>
      </c>
      <c r="C11" s="1398"/>
      <c r="D11" s="1399"/>
      <c r="E11" s="1399"/>
      <c r="F11" s="1399"/>
      <c r="G11" s="1399"/>
      <c r="H11" s="1399"/>
      <c r="I11" s="1399"/>
      <c r="J11" s="1399"/>
      <c r="K11" s="1399"/>
      <c r="L11" s="1399"/>
      <c r="M11" s="1399"/>
      <c r="N11" s="1399"/>
      <c r="O11" s="1399"/>
      <c r="P11" s="1399"/>
      <c r="Q11" s="1399"/>
      <c r="R11" s="1399"/>
      <c r="S11" s="1399"/>
      <c r="T11" s="1399"/>
    </row>
    <row r="12" spans="1:20" ht="21" customHeight="1" x14ac:dyDescent="0.2">
      <c r="A12" s="801">
        <v>4</v>
      </c>
      <c r="B12" s="375" t="s">
        <v>395</v>
      </c>
      <c r="C12" s="1398"/>
      <c r="D12" s="1399"/>
      <c r="E12" s="1399"/>
      <c r="F12" s="1399"/>
      <c r="G12" s="1399"/>
      <c r="H12" s="1399"/>
      <c r="I12" s="1399"/>
      <c r="J12" s="1399"/>
      <c r="K12" s="1399"/>
      <c r="L12" s="1399"/>
      <c r="M12" s="1399"/>
      <c r="N12" s="1399"/>
      <c r="O12" s="1399"/>
      <c r="P12" s="1399"/>
      <c r="Q12" s="1399"/>
      <c r="R12" s="1399"/>
      <c r="S12" s="1399"/>
      <c r="T12" s="1399"/>
    </row>
    <row r="13" spans="1:20" ht="21" customHeight="1" x14ac:dyDescent="0.2">
      <c r="A13" s="801">
        <v>5</v>
      </c>
      <c r="B13" s="376" t="s">
        <v>396</v>
      </c>
      <c r="C13" s="1398"/>
      <c r="D13" s="1399"/>
      <c r="E13" s="1399"/>
      <c r="F13" s="1399"/>
      <c r="G13" s="1399"/>
      <c r="H13" s="1399"/>
      <c r="I13" s="1399"/>
      <c r="J13" s="1399"/>
      <c r="K13" s="1399"/>
      <c r="L13" s="1399"/>
      <c r="M13" s="1399"/>
      <c r="N13" s="1399"/>
      <c r="O13" s="1399"/>
      <c r="P13" s="1399"/>
      <c r="Q13" s="1399"/>
      <c r="R13" s="1399"/>
      <c r="S13" s="1399"/>
      <c r="T13" s="1399"/>
    </row>
    <row r="14" spans="1:20" ht="21" customHeight="1" x14ac:dyDescent="0.2">
      <c r="A14" s="801">
        <v>6</v>
      </c>
      <c r="B14" s="375" t="s">
        <v>397</v>
      </c>
      <c r="C14" s="1398"/>
      <c r="D14" s="1399"/>
      <c r="E14" s="1399"/>
      <c r="F14" s="1399"/>
      <c r="G14" s="1399"/>
      <c r="H14" s="1399"/>
      <c r="I14" s="1399"/>
      <c r="J14" s="1399"/>
      <c r="K14" s="1399"/>
      <c r="L14" s="1399"/>
      <c r="M14" s="1399"/>
      <c r="N14" s="1399"/>
      <c r="O14" s="1399"/>
      <c r="P14" s="1399"/>
      <c r="Q14" s="1399"/>
      <c r="R14" s="1399"/>
      <c r="S14" s="1399"/>
      <c r="T14" s="1399"/>
    </row>
    <row r="15" spans="1:20" ht="21" customHeight="1" x14ac:dyDescent="0.2">
      <c r="A15" s="801">
        <v>7</v>
      </c>
      <c r="B15" s="376" t="s">
        <v>398</v>
      </c>
      <c r="C15" s="1398"/>
      <c r="D15" s="1399"/>
      <c r="E15" s="1399"/>
      <c r="F15" s="1399"/>
      <c r="G15" s="1399"/>
      <c r="H15" s="1399"/>
      <c r="I15" s="1399"/>
      <c r="J15" s="1399"/>
      <c r="K15" s="1399"/>
      <c r="L15" s="1399"/>
      <c r="M15" s="1399"/>
      <c r="N15" s="1399"/>
      <c r="O15" s="1399"/>
      <c r="P15" s="1399"/>
      <c r="Q15" s="1399"/>
      <c r="R15" s="1399"/>
      <c r="S15" s="1399"/>
      <c r="T15" s="1399"/>
    </row>
    <row r="16" spans="1:20" ht="21" customHeight="1" x14ac:dyDescent="0.2">
      <c r="A16" s="801">
        <v>8</v>
      </c>
      <c r="B16" s="375" t="s">
        <v>399</v>
      </c>
      <c r="C16" s="1398"/>
      <c r="D16" s="1399"/>
      <c r="E16" s="1399"/>
      <c r="F16" s="1399"/>
      <c r="G16" s="1399"/>
      <c r="H16" s="1399"/>
      <c r="I16" s="1399"/>
      <c r="J16" s="1399"/>
      <c r="K16" s="1399"/>
      <c r="L16" s="1399"/>
      <c r="M16" s="1399"/>
      <c r="N16" s="1399"/>
      <c r="O16" s="1399"/>
      <c r="P16" s="1399"/>
      <c r="Q16" s="1399"/>
      <c r="R16" s="1399"/>
      <c r="S16" s="1399"/>
      <c r="T16" s="1399"/>
    </row>
    <row r="17" spans="1:20" ht="21" customHeight="1" x14ac:dyDescent="0.2">
      <c r="A17" s="801">
        <v>9</v>
      </c>
      <c r="B17" s="375" t="s">
        <v>400</v>
      </c>
      <c r="C17" s="1398"/>
      <c r="D17" s="1399"/>
      <c r="E17" s="1399"/>
      <c r="F17" s="1399"/>
      <c r="G17" s="1399"/>
      <c r="H17" s="1399"/>
      <c r="I17" s="1399"/>
      <c r="J17" s="1399"/>
      <c r="K17" s="1399"/>
      <c r="L17" s="1399"/>
      <c r="M17" s="1399"/>
      <c r="N17" s="1399"/>
      <c r="O17" s="1399"/>
      <c r="P17" s="1399"/>
      <c r="Q17" s="1399"/>
      <c r="R17" s="1399"/>
      <c r="S17" s="1399"/>
      <c r="T17" s="1399"/>
    </row>
    <row r="18" spans="1:20" ht="21" customHeight="1" x14ac:dyDescent="0.2">
      <c r="A18" s="801">
        <v>10</v>
      </c>
      <c r="B18" s="375" t="s">
        <v>401</v>
      </c>
      <c r="C18" s="1398"/>
      <c r="D18" s="1399"/>
      <c r="E18" s="1399"/>
      <c r="F18" s="1399"/>
      <c r="G18" s="1399"/>
      <c r="H18" s="1399"/>
      <c r="I18" s="1399"/>
      <c r="J18" s="1399"/>
      <c r="K18" s="1399"/>
      <c r="L18" s="1399"/>
      <c r="M18" s="1399"/>
      <c r="N18" s="1399"/>
      <c r="O18" s="1399"/>
      <c r="P18" s="1399"/>
      <c r="Q18" s="1399"/>
      <c r="R18" s="1399"/>
      <c r="S18" s="1399"/>
      <c r="T18" s="1399"/>
    </row>
    <row r="19" spans="1:20" ht="21" customHeight="1" x14ac:dyDescent="0.2">
      <c r="A19" s="801">
        <v>11</v>
      </c>
      <c r="B19" s="375" t="s">
        <v>402</v>
      </c>
      <c r="C19" s="1398"/>
      <c r="D19" s="1399"/>
      <c r="E19" s="1399"/>
      <c r="F19" s="1399"/>
      <c r="G19" s="1399"/>
      <c r="H19" s="1399"/>
      <c r="I19" s="1399"/>
      <c r="J19" s="1399"/>
      <c r="K19" s="1399"/>
      <c r="L19" s="1399"/>
      <c r="M19" s="1399"/>
      <c r="N19" s="1399"/>
      <c r="O19" s="1399"/>
      <c r="P19" s="1399"/>
      <c r="Q19" s="1399"/>
      <c r="R19" s="1399"/>
      <c r="S19" s="1399"/>
      <c r="T19" s="1399"/>
    </row>
    <row r="20" spans="1:20" ht="21" customHeight="1" x14ac:dyDescent="0.2">
      <c r="A20" s="801">
        <v>12</v>
      </c>
      <c r="B20" s="375" t="s">
        <v>403</v>
      </c>
      <c r="C20" s="1398"/>
      <c r="D20" s="1399"/>
      <c r="E20" s="1399"/>
      <c r="F20" s="1399"/>
      <c r="G20" s="1399"/>
      <c r="H20" s="1399"/>
      <c r="I20" s="1399"/>
      <c r="J20" s="1399"/>
      <c r="K20" s="1399"/>
      <c r="L20" s="1399"/>
      <c r="M20" s="1399"/>
      <c r="N20" s="1399"/>
      <c r="O20" s="1399"/>
      <c r="P20" s="1399"/>
      <c r="Q20" s="1399"/>
      <c r="R20" s="1399"/>
      <c r="S20" s="1399"/>
      <c r="T20" s="1399"/>
    </row>
    <row r="21" spans="1:20" ht="21" customHeight="1" x14ac:dyDescent="0.2">
      <c r="A21" s="801">
        <v>13</v>
      </c>
      <c r="B21" s="375" t="s">
        <v>404</v>
      </c>
      <c r="C21" s="1398"/>
      <c r="D21" s="1399"/>
      <c r="E21" s="1399"/>
      <c r="F21" s="1399"/>
      <c r="G21" s="1399"/>
      <c r="H21" s="1399"/>
      <c r="I21" s="1399"/>
      <c r="J21" s="1399"/>
      <c r="K21" s="1399"/>
      <c r="L21" s="1399"/>
      <c r="M21" s="1399"/>
      <c r="N21" s="1399"/>
      <c r="O21" s="1399"/>
      <c r="P21" s="1399"/>
      <c r="Q21" s="1399"/>
      <c r="R21" s="1399"/>
      <c r="S21" s="1399"/>
      <c r="T21" s="1399"/>
    </row>
    <row r="22" spans="1:20" ht="21" customHeight="1" x14ac:dyDescent="0.2">
      <c r="A22" s="801" t="s">
        <v>18</v>
      </c>
      <c r="B22" s="218"/>
      <c r="C22" s="263"/>
      <c r="D22" s="1393"/>
      <c r="E22" s="1394"/>
      <c r="F22" s="1395"/>
      <c r="G22" s="263"/>
      <c r="H22" s="263"/>
      <c r="I22" s="263"/>
      <c r="J22" s="263"/>
      <c r="K22" s="263"/>
      <c r="L22" s="263"/>
      <c r="M22" s="263"/>
      <c r="N22" s="263"/>
      <c r="O22" s="263"/>
      <c r="P22" s="263"/>
      <c r="Q22" s="263"/>
      <c r="R22" s="263"/>
      <c r="S22" s="14"/>
      <c r="T22" s="14"/>
    </row>
    <row r="23" spans="1:20" x14ac:dyDescent="0.2">
      <c r="A23" s="16"/>
      <c r="B23" s="16"/>
      <c r="C23" s="16"/>
      <c r="D23" s="16"/>
      <c r="E23" s="16"/>
    </row>
    <row r="24" spans="1:20" x14ac:dyDescent="0.2">
      <c r="A24" s="364" t="s">
        <v>7</v>
      </c>
      <c r="B24" s="365"/>
      <c r="C24" s="365"/>
      <c r="D24" s="366"/>
      <c r="E24" s="551"/>
      <c r="F24" s="551"/>
      <c r="G24" s="551"/>
      <c r="H24" s="551"/>
      <c r="I24" s="551"/>
      <c r="J24" s="551"/>
      <c r="K24" s="551"/>
      <c r="L24" s="551"/>
      <c r="M24" s="551"/>
      <c r="N24" s="551"/>
      <c r="O24" s="551"/>
      <c r="P24" s="551"/>
      <c r="Q24" s="551"/>
      <c r="R24" s="551"/>
    </row>
    <row r="25" spans="1:20" x14ac:dyDescent="0.2">
      <c r="A25" s="368" t="s">
        <v>8</v>
      </c>
      <c r="B25" s="368"/>
      <c r="C25" s="368"/>
      <c r="D25" s="367"/>
      <c r="E25" s="551"/>
      <c r="F25" s="551"/>
      <c r="G25" s="551"/>
      <c r="H25" s="551"/>
      <c r="I25" s="551"/>
      <c r="J25" s="551"/>
      <c r="K25" s="551"/>
      <c r="L25" s="551"/>
      <c r="M25" s="551"/>
      <c r="N25" s="551"/>
      <c r="O25" s="551"/>
      <c r="P25" s="551"/>
      <c r="Q25" s="551"/>
      <c r="R25" s="551"/>
    </row>
    <row r="26" spans="1:20" x14ac:dyDescent="0.2">
      <c r="A26" s="368" t="s">
        <v>9</v>
      </c>
      <c r="B26" s="368"/>
      <c r="C26" s="368"/>
      <c r="D26" s="367"/>
      <c r="E26" s="551"/>
      <c r="F26" s="551"/>
      <c r="G26" s="551"/>
      <c r="H26" s="551"/>
      <c r="I26" s="551"/>
      <c r="J26" s="551"/>
      <c r="K26" s="551"/>
      <c r="L26" s="551"/>
      <c r="M26" s="551"/>
      <c r="N26" s="551"/>
      <c r="O26" s="551"/>
      <c r="P26" s="551"/>
      <c r="Q26" s="551"/>
      <c r="R26" s="551"/>
    </row>
    <row r="27" spans="1:20" x14ac:dyDescent="0.2">
      <c r="A27" s="1386" t="s">
        <v>237</v>
      </c>
      <c r="B27" s="1386"/>
      <c r="C27" s="1386"/>
      <c r="D27" s="1386"/>
      <c r="E27" s="551"/>
      <c r="F27" s="551"/>
      <c r="G27" s="551"/>
      <c r="H27" s="551"/>
      <c r="I27" s="551"/>
      <c r="J27" s="551"/>
      <c r="K27" s="551"/>
      <c r="L27" s="551"/>
      <c r="M27" s="551"/>
      <c r="N27" s="551"/>
      <c r="O27" s="551"/>
      <c r="P27" s="551"/>
      <c r="Q27" s="551"/>
      <c r="R27" s="551"/>
    </row>
    <row r="28" spans="1:20" x14ac:dyDescent="0.2">
      <c r="A28" s="551"/>
      <c r="B28" s="551"/>
      <c r="C28" s="551"/>
      <c r="D28" s="551"/>
      <c r="E28" s="551"/>
      <c r="F28" s="551"/>
      <c r="G28" s="551"/>
      <c r="H28" s="551"/>
      <c r="I28" s="551"/>
      <c r="J28" s="551"/>
      <c r="K28" s="551"/>
      <c r="L28" s="551"/>
      <c r="M28" s="551"/>
      <c r="N28" s="551"/>
      <c r="O28" s="551"/>
      <c r="P28" s="551"/>
      <c r="Q28" s="551"/>
      <c r="R28" s="551"/>
    </row>
    <row r="29" spans="1:20" x14ac:dyDescent="0.2">
      <c r="A29" s="551"/>
      <c r="B29" s="551"/>
      <c r="C29" s="551"/>
      <c r="D29" s="551"/>
      <c r="E29" s="551"/>
      <c r="F29" s="551"/>
      <c r="G29" s="551"/>
      <c r="H29" s="551"/>
      <c r="I29" s="551"/>
      <c r="J29" s="551"/>
      <c r="K29" s="551"/>
      <c r="L29" s="551"/>
      <c r="M29" s="551"/>
      <c r="N29" s="551"/>
      <c r="O29" s="551"/>
      <c r="P29" s="551"/>
      <c r="Q29" s="551"/>
      <c r="R29" s="551"/>
    </row>
    <row r="30" spans="1:20" x14ac:dyDescent="0.2">
      <c r="A30" s="551"/>
      <c r="B30" s="551"/>
      <c r="C30" s="551"/>
      <c r="D30" s="551"/>
      <c r="E30" s="551"/>
      <c r="F30" s="551"/>
      <c r="G30" s="551"/>
      <c r="H30" s="551"/>
      <c r="I30" s="551"/>
      <c r="J30" s="551"/>
      <c r="K30" s="551"/>
      <c r="L30" s="551"/>
      <c r="M30" s="551"/>
      <c r="N30" s="551"/>
      <c r="O30" s="551"/>
      <c r="P30" s="551"/>
      <c r="Q30" s="551"/>
      <c r="R30" s="551"/>
    </row>
    <row r="31" spans="1:20" x14ac:dyDescent="0.2">
      <c r="A31" s="551"/>
      <c r="B31" s="551"/>
      <c r="C31" s="551"/>
      <c r="D31" s="551"/>
      <c r="E31" s="551"/>
      <c r="F31" s="551"/>
      <c r="G31" s="551"/>
      <c r="H31" s="551"/>
      <c r="I31" s="551"/>
      <c r="J31" s="551"/>
      <c r="K31" s="551"/>
      <c r="L31" s="551"/>
      <c r="M31" s="551"/>
      <c r="N31" s="551"/>
      <c r="O31" s="551"/>
      <c r="P31" s="551"/>
      <c r="Q31" s="551"/>
      <c r="R31" s="551"/>
    </row>
    <row r="32" spans="1:20" x14ac:dyDescent="0.2">
      <c r="A32" s="551"/>
      <c r="B32" s="551"/>
      <c r="C32" s="551"/>
      <c r="D32" s="551"/>
      <c r="E32" s="551"/>
      <c r="F32" s="551"/>
      <c r="G32" s="551"/>
      <c r="H32" s="551"/>
      <c r="I32" s="551"/>
      <c r="J32" s="551"/>
      <c r="K32" s="551"/>
      <c r="L32" s="551"/>
      <c r="M32" s="551"/>
      <c r="N32" s="551"/>
      <c r="O32" s="551"/>
      <c r="P32" s="551"/>
      <c r="Q32" s="551"/>
      <c r="R32" s="551"/>
    </row>
    <row r="33" spans="1:18" x14ac:dyDescent="0.2">
      <c r="A33" s="11"/>
      <c r="B33" s="11"/>
      <c r="C33" s="11"/>
    </row>
    <row r="34" spans="1:18" x14ac:dyDescent="0.2">
      <c r="A34" s="11" t="s">
        <v>11</v>
      </c>
      <c r="D34" s="11"/>
      <c r="E34" s="11"/>
      <c r="H34" s="11"/>
      <c r="I34" s="11"/>
      <c r="J34" s="11"/>
      <c r="K34" s="11"/>
      <c r="L34" s="11"/>
      <c r="M34" s="11"/>
      <c r="N34" s="11"/>
      <c r="O34" s="11"/>
      <c r="P34" s="11"/>
      <c r="Q34" s="1086" t="s">
        <v>12</v>
      </c>
      <c r="R34" s="1086"/>
    </row>
    <row r="35" spans="1:18" ht="12.75" customHeight="1" x14ac:dyDescent="0.2">
      <c r="G35" s="11"/>
      <c r="H35" s="1385" t="s">
        <v>13</v>
      </c>
      <c r="I35" s="1385"/>
      <c r="J35" s="1385"/>
      <c r="K35" s="1385"/>
      <c r="L35" s="1385"/>
      <c r="M35" s="1385"/>
      <c r="N35" s="1385"/>
      <c r="O35" s="1385"/>
      <c r="P35" s="1385"/>
      <c r="Q35" s="1385"/>
      <c r="R35" s="1385"/>
    </row>
    <row r="36" spans="1:18" ht="12.75" customHeight="1" x14ac:dyDescent="0.2">
      <c r="G36" s="1385" t="s">
        <v>88</v>
      </c>
      <c r="H36" s="1385"/>
      <c r="I36" s="1385"/>
      <c r="J36" s="1385"/>
      <c r="K36" s="1385"/>
      <c r="L36" s="1385"/>
      <c r="M36" s="1385"/>
      <c r="N36" s="1385"/>
      <c r="O36" s="1385"/>
      <c r="P36" s="1385"/>
      <c r="Q36" s="1385"/>
      <c r="R36" s="1385"/>
    </row>
    <row r="37" spans="1:18" x14ac:dyDescent="0.2">
      <c r="A37" s="11"/>
      <c r="B37" s="11"/>
      <c r="H37" s="11"/>
      <c r="I37" s="11"/>
      <c r="J37" s="11"/>
      <c r="K37" s="11"/>
      <c r="L37" s="11"/>
      <c r="M37" s="11"/>
      <c r="N37" s="11"/>
      <c r="O37" s="11"/>
      <c r="P37" s="11"/>
      <c r="Q37" s="11"/>
      <c r="R37" s="11" t="s">
        <v>85</v>
      </c>
    </row>
    <row r="39" spans="1:18" x14ac:dyDescent="0.2">
      <c r="A39" s="1082"/>
      <c r="B39" s="1082"/>
      <c r="C39" s="1082"/>
      <c r="D39" s="1082"/>
      <c r="E39" s="1082"/>
      <c r="F39" s="1082"/>
      <c r="G39" s="1082"/>
      <c r="H39" s="1082"/>
      <c r="I39" s="1082"/>
      <c r="J39" s="1082"/>
      <c r="K39" s="1082"/>
      <c r="L39" s="1082"/>
      <c r="M39" s="1082"/>
      <c r="N39" s="1082"/>
      <c r="O39" s="1082"/>
      <c r="P39" s="1082"/>
      <c r="Q39" s="1082"/>
      <c r="R39" s="1082"/>
    </row>
  </sheetData>
  <mergeCells count="22">
    <mergeCell ref="H35:R35"/>
    <mergeCell ref="G36:R36"/>
    <mergeCell ref="A39:R39"/>
    <mergeCell ref="O6:T6"/>
    <mergeCell ref="D8:F8"/>
    <mergeCell ref="C9:T21"/>
    <mergeCell ref="D22:F22"/>
    <mergeCell ref="A27:D27"/>
    <mergeCell ref="Q34:R34"/>
    <mergeCell ref="A6:A7"/>
    <mergeCell ref="B6:B7"/>
    <mergeCell ref="C6:C7"/>
    <mergeCell ref="D6:F7"/>
    <mergeCell ref="G6:J6"/>
    <mergeCell ref="K6:N6"/>
    <mergeCell ref="A5:C5"/>
    <mergeCell ref="I5:R5"/>
    <mergeCell ref="D1:G1"/>
    <mergeCell ref="S1:T1"/>
    <mergeCell ref="A2:R2"/>
    <mergeCell ref="A3:R3"/>
    <mergeCell ref="A4:R4"/>
  </mergeCells>
  <printOptions horizontalCentered="1"/>
  <pageMargins left="0.22" right="0.18" top="0.23622047244094491" bottom="0" header="0.31496062992125984" footer="0.31496062992125984"/>
  <pageSetup paperSize="9" scale="81"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00000"/>
    <pageSetUpPr fitToPage="1"/>
  </sheetPr>
  <dimension ref="A2:U33"/>
  <sheetViews>
    <sheetView view="pageBreakPreview" topLeftCell="A11" zoomScale="96" zoomScaleSheetLayoutView="96" workbookViewId="0">
      <selection activeCell="U15" sqref="U15"/>
    </sheetView>
  </sheetViews>
  <sheetFormatPr defaultRowHeight="15" x14ac:dyDescent="0.25"/>
  <cols>
    <col min="1" max="1" width="9.140625" style="536"/>
    <col min="2" max="2" width="11.85546875" style="536" customWidth="1"/>
    <col min="3" max="3" width="7.28515625" style="536" customWidth="1"/>
    <col min="4" max="4" width="6.85546875" style="536" customWidth="1"/>
    <col min="5" max="5" width="7.42578125" style="536" customWidth="1"/>
    <col min="6" max="7" width="7" style="536" customWidth="1"/>
    <col min="8" max="8" width="7.140625" style="536" customWidth="1"/>
    <col min="9" max="10" width="6.85546875" style="536" customWidth="1"/>
    <col min="11" max="11" width="7" style="536" customWidth="1"/>
    <col min="12" max="12" width="7.28515625" style="536" customWidth="1"/>
    <col min="13" max="13" width="7.42578125" style="536" customWidth="1"/>
    <col min="14" max="14" width="7.85546875" style="536" customWidth="1"/>
    <col min="15" max="15" width="12" style="536" customWidth="1"/>
    <col min="16" max="16" width="13.5703125" style="536" customWidth="1"/>
    <col min="17" max="17" width="11.5703125" style="536" customWidth="1"/>
    <col min="18" max="18" width="19.28515625" style="536" customWidth="1"/>
    <col min="19" max="19" width="9.140625" style="536" hidden="1" customWidth="1"/>
    <col min="20" max="16384" width="9.140625" style="536"/>
  </cols>
  <sheetData>
    <row r="2" spans="1:21" ht="15.75" x14ac:dyDescent="0.25">
      <c r="R2" s="1403" t="s">
        <v>709</v>
      </c>
      <c r="S2" s="1403"/>
    </row>
    <row r="3" spans="1:21" s="533" customFormat="1" ht="15.75" x14ac:dyDescent="0.25">
      <c r="A3" s="1249" t="s">
        <v>0</v>
      </c>
      <c r="B3" s="1249"/>
      <c r="C3" s="1249"/>
      <c r="D3" s="1249"/>
      <c r="E3" s="1249"/>
      <c r="F3" s="1249"/>
      <c r="G3" s="1249"/>
      <c r="H3" s="1249"/>
      <c r="I3" s="1249"/>
      <c r="J3" s="1249"/>
      <c r="K3" s="1249"/>
      <c r="L3" s="1249"/>
      <c r="M3" s="1249"/>
      <c r="N3" s="1249"/>
      <c r="O3" s="1249"/>
      <c r="P3" s="1249"/>
      <c r="Q3" s="1249"/>
      <c r="R3" s="1249"/>
    </row>
    <row r="4" spans="1:21" s="533" customFormat="1" ht="15.75" x14ac:dyDescent="0.25">
      <c r="A4" s="1249" t="s">
        <v>794</v>
      </c>
      <c r="B4" s="1249"/>
      <c r="C4" s="1249"/>
      <c r="D4" s="1249"/>
      <c r="E4" s="1249"/>
      <c r="F4" s="1249"/>
      <c r="G4" s="1249"/>
      <c r="H4" s="1249"/>
      <c r="I4" s="1249"/>
      <c r="J4" s="1249"/>
      <c r="K4" s="1249"/>
      <c r="L4" s="1249"/>
      <c r="M4" s="1249"/>
      <c r="N4" s="1249"/>
      <c r="O4" s="1249"/>
      <c r="P4" s="1249"/>
      <c r="Q4" s="1249"/>
      <c r="R4" s="1249"/>
    </row>
    <row r="5" spans="1:21" ht="18" x14ac:dyDescent="0.25">
      <c r="A5" s="1404" t="s">
        <v>753</v>
      </c>
      <c r="B5" s="1404"/>
      <c r="C5" s="1404"/>
      <c r="D5" s="1404"/>
      <c r="E5" s="1404"/>
      <c r="F5" s="1404"/>
      <c r="G5" s="1404"/>
      <c r="H5" s="1404"/>
      <c r="I5" s="1404"/>
      <c r="J5" s="1404"/>
      <c r="K5" s="1404"/>
      <c r="L5" s="1404"/>
      <c r="M5" s="1404"/>
      <c r="N5" s="1404"/>
      <c r="O5" s="1404"/>
      <c r="P5" s="1404"/>
      <c r="Q5" s="1404"/>
      <c r="R5" s="1404"/>
      <c r="S5" s="1404"/>
    </row>
    <row r="6" spans="1:21" x14ac:dyDescent="0.25">
      <c r="C6" s="537"/>
      <c r="D6" s="537"/>
      <c r="E6" s="537"/>
      <c r="F6" s="537"/>
      <c r="G6" s="537"/>
      <c r="H6" s="537"/>
      <c r="M6" s="537"/>
      <c r="N6" s="537"/>
      <c r="O6" s="537"/>
      <c r="P6" s="537"/>
      <c r="Q6" s="537"/>
      <c r="R6" s="537"/>
      <c r="S6" s="537"/>
    </row>
    <row r="7" spans="1:21" x14ac:dyDescent="0.25">
      <c r="A7" s="1407" t="s">
        <v>463</v>
      </c>
      <c r="B7" s="1407"/>
      <c r="C7" s="1407"/>
    </row>
    <row r="8" spans="1:21" x14ac:dyDescent="0.25">
      <c r="B8" s="538"/>
    </row>
    <row r="9" spans="1:21" s="540" customFormat="1" ht="55.5" customHeight="1" x14ac:dyDescent="0.25">
      <c r="A9" s="1250" t="s">
        <v>2</v>
      </c>
      <c r="B9" s="1408" t="s">
        <v>3</v>
      </c>
      <c r="C9" s="1405" t="s">
        <v>270</v>
      </c>
      <c r="D9" s="1405"/>
      <c r="E9" s="1405"/>
      <c r="F9" s="1405"/>
      <c r="G9" s="1400" t="s">
        <v>906</v>
      </c>
      <c r="H9" s="1401"/>
      <c r="I9" s="1401"/>
      <c r="J9" s="1406"/>
      <c r="K9" s="1400" t="s">
        <v>233</v>
      </c>
      <c r="L9" s="1401"/>
      <c r="M9" s="1401"/>
      <c r="N9" s="1406"/>
      <c r="O9" s="1400" t="s">
        <v>113</v>
      </c>
      <c r="P9" s="1401"/>
      <c r="Q9" s="1401"/>
      <c r="R9" s="1402"/>
    </row>
    <row r="10" spans="1:21" s="542" customFormat="1" ht="62.25" customHeight="1" x14ac:dyDescent="0.25">
      <c r="A10" s="1250"/>
      <c r="B10" s="1409"/>
      <c r="C10" s="541" t="s">
        <v>99</v>
      </c>
      <c r="D10" s="541" t="s">
        <v>103</v>
      </c>
      <c r="E10" s="541" t="s">
        <v>104</v>
      </c>
      <c r="F10" s="541" t="s">
        <v>18</v>
      </c>
      <c r="G10" s="541" t="s">
        <v>99</v>
      </c>
      <c r="H10" s="541" t="s">
        <v>103</v>
      </c>
      <c r="I10" s="541" t="s">
        <v>104</v>
      </c>
      <c r="J10" s="541" t="s">
        <v>18</v>
      </c>
      <c r="K10" s="541" t="s">
        <v>99</v>
      </c>
      <c r="L10" s="541" t="s">
        <v>103</v>
      </c>
      <c r="M10" s="541" t="s">
        <v>104</v>
      </c>
      <c r="N10" s="541" t="s">
        <v>18</v>
      </c>
      <c r="O10" s="541" t="s">
        <v>158</v>
      </c>
      <c r="P10" s="541" t="s">
        <v>159</v>
      </c>
      <c r="Q10" s="539" t="s">
        <v>160</v>
      </c>
      <c r="R10" s="541" t="s">
        <v>161</v>
      </c>
    </row>
    <row r="11" spans="1:21" s="543" customFormat="1" ht="16.149999999999999" customHeight="1" x14ac:dyDescent="0.2">
      <c r="A11" s="196">
        <v>1</v>
      </c>
      <c r="B11" s="541">
        <v>2</v>
      </c>
      <c r="C11" s="541">
        <v>3</v>
      </c>
      <c r="D11" s="541">
        <v>4</v>
      </c>
      <c r="E11" s="541">
        <v>5</v>
      </c>
      <c r="F11" s="541">
        <v>6</v>
      </c>
      <c r="G11" s="541">
        <v>7</v>
      </c>
      <c r="H11" s="541">
        <v>8</v>
      </c>
      <c r="I11" s="541">
        <v>9</v>
      </c>
      <c r="J11" s="541">
        <v>10</v>
      </c>
      <c r="K11" s="541">
        <v>11</v>
      </c>
      <c r="L11" s="541">
        <v>12</v>
      </c>
      <c r="M11" s="541">
        <v>13</v>
      </c>
      <c r="N11" s="541">
        <v>14</v>
      </c>
      <c r="O11" s="541">
        <v>15</v>
      </c>
      <c r="P11" s="541">
        <v>16</v>
      </c>
      <c r="Q11" s="541">
        <v>17</v>
      </c>
      <c r="R11" s="541">
        <v>18</v>
      </c>
    </row>
    <row r="12" spans="1:21" s="430" customFormat="1" ht="24.95" customHeight="1" x14ac:dyDescent="0.2">
      <c r="A12" s="434">
        <v>1</v>
      </c>
      <c r="B12" s="544" t="s">
        <v>392</v>
      </c>
      <c r="C12" s="350">
        <v>1801</v>
      </c>
      <c r="D12" s="350">
        <v>57</v>
      </c>
      <c r="E12" s="350">
        <v>6</v>
      </c>
      <c r="F12" s="434">
        <f>C12+D12+E12</f>
        <v>1864</v>
      </c>
      <c r="G12" s="604">
        <v>1704</v>
      </c>
      <c r="H12" s="605">
        <v>53</v>
      </c>
      <c r="I12" s="605">
        <v>6</v>
      </c>
      <c r="J12" s="606">
        <f>SUM(G12:I12)</f>
        <v>1763</v>
      </c>
      <c r="K12" s="607">
        <v>27</v>
      </c>
      <c r="L12" s="607">
        <v>0</v>
      </c>
      <c r="M12" s="607">
        <v>0</v>
      </c>
      <c r="N12" s="602">
        <f>SUM(K12:M12)</f>
        <v>27</v>
      </c>
      <c r="O12" s="604">
        <v>0</v>
      </c>
      <c r="P12" s="605">
        <v>0</v>
      </c>
      <c r="Q12" s="605">
        <v>0</v>
      </c>
      <c r="R12" s="604">
        <v>0</v>
      </c>
    </row>
    <row r="13" spans="1:21" s="430" customFormat="1" ht="24.95" customHeight="1" x14ac:dyDescent="0.2">
      <c r="A13" s="434">
        <v>2</v>
      </c>
      <c r="B13" s="544" t="s">
        <v>393</v>
      </c>
      <c r="C13" s="350">
        <v>799</v>
      </c>
      <c r="D13" s="350">
        <v>20</v>
      </c>
      <c r="E13" s="350">
        <v>0</v>
      </c>
      <c r="F13" s="434">
        <f t="shared" ref="F13:F24" si="0">C13+D13+E13</f>
        <v>819</v>
      </c>
      <c r="G13" s="604">
        <v>735</v>
      </c>
      <c r="H13" s="605">
        <v>19</v>
      </c>
      <c r="I13" s="605">
        <v>0</v>
      </c>
      <c r="J13" s="606">
        <f>SUM(G13:I13)</f>
        <v>754</v>
      </c>
      <c r="K13" s="607">
        <v>22</v>
      </c>
      <c r="L13" s="607">
        <v>0</v>
      </c>
      <c r="M13" s="607">
        <v>0</v>
      </c>
      <c r="N13" s="602">
        <f t="shared" ref="N13:N24" si="1">SUM(K13:M13)</f>
        <v>22</v>
      </c>
      <c r="O13" s="604">
        <v>0</v>
      </c>
      <c r="P13" s="605">
        <v>0</v>
      </c>
      <c r="Q13" s="605">
        <v>0</v>
      </c>
      <c r="R13" s="604">
        <v>0</v>
      </c>
    </row>
    <row r="14" spans="1:21" s="430" customFormat="1" ht="24.95" customHeight="1" x14ac:dyDescent="0.2">
      <c r="A14" s="434">
        <v>3</v>
      </c>
      <c r="B14" s="544" t="s">
        <v>394</v>
      </c>
      <c r="C14" s="350">
        <v>1383</v>
      </c>
      <c r="D14" s="350">
        <v>23</v>
      </c>
      <c r="E14" s="350">
        <v>0</v>
      </c>
      <c r="F14" s="434">
        <f t="shared" si="0"/>
        <v>1406</v>
      </c>
      <c r="G14" s="604">
        <v>1233</v>
      </c>
      <c r="H14" s="605">
        <v>16</v>
      </c>
      <c r="I14" s="605">
        <v>0</v>
      </c>
      <c r="J14" s="606">
        <f t="shared" ref="J14:J24" si="2">SUM(G14:I14)</f>
        <v>1249</v>
      </c>
      <c r="K14" s="607">
        <v>40</v>
      </c>
      <c r="L14" s="607">
        <v>0</v>
      </c>
      <c r="M14" s="607">
        <v>0</v>
      </c>
      <c r="N14" s="602">
        <f t="shared" si="1"/>
        <v>40</v>
      </c>
      <c r="O14" s="604">
        <v>0</v>
      </c>
      <c r="P14" s="605">
        <v>0</v>
      </c>
      <c r="Q14" s="605">
        <v>0</v>
      </c>
      <c r="R14" s="604">
        <v>0</v>
      </c>
      <c r="T14" s="543"/>
      <c r="U14" s="543"/>
    </row>
    <row r="15" spans="1:21" s="430" customFormat="1" ht="24.95" customHeight="1" x14ac:dyDescent="0.2">
      <c r="A15" s="434">
        <v>4</v>
      </c>
      <c r="B15" s="544" t="s">
        <v>395</v>
      </c>
      <c r="C15" s="350">
        <v>706</v>
      </c>
      <c r="D15" s="350">
        <v>8</v>
      </c>
      <c r="E15" s="350">
        <v>0</v>
      </c>
      <c r="F15" s="434">
        <f t="shared" si="0"/>
        <v>714</v>
      </c>
      <c r="G15" s="604">
        <v>665</v>
      </c>
      <c r="H15" s="605">
        <v>7</v>
      </c>
      <c r="I15" s="605">
        <v>0</v>
      </c>
      <c r="J15" s="606">
        <f t="shared" si="2"/>
        <v>672</v>
      </c>
      <c r="K15" s="607">
        <v>31</v>
      </c>
      <c r="L15" s="607">
        <v>0</v>
      </c>
      <c r="M15" s="607">
        <v>0</v>
      </c>
      <c r="N15" s="602">
        <f t="shared" si="1"/>
        <v>31</v>
      </c>
      <c r="O15" s="604">
        <v>0</v>
      </c>
      <c r="P15" s="605">
        <v>0</v>
      </c>
      <c r="Q15" s="605">
        <v>0</v>
      </c>
      <c r="R15" s="604">
        <v>0</v>
      </c>
    </row>
    <row r="16" spans="1:21" s="430" customFormat="1" ht="24.95" customHeight="1" x14ac:dyDescent="0.2">
      <c r="A16" s="434">
        <v>5</v>
      </c>
      <c r="B16" s="544" t="s">
        <v>396</v>
      </c>
      <c r="C16" s="350">
        <v>1316</v>
      </c>
      <c r="D16" s="350">
        <v>101</v>
      </c>
      <c r="E16" s="350">
        <v>9</v>
      </c>
      <c r="F16" s="434">
        <f t="shared" si="0"/>
        <v>1426</v>
      </c>
      <c r="G16" s="604">
        <v>1097</v>
      </c>
      <c r="H16" s="605">
        <v>90</v>
      </c>
      <c r="I16" s="605">
        <v>8</v>
      </c>
      <c r="J16" s="606">
        <f t="shared" si="2"/>
        <v>1195</v>
      </c>
      <c r="K16" s="607">
        <v>90</v>
      </c>
      <c r="L16" s="607">
        <v>0</v>
      </c>
      <c r="M16" s="607">
        <v>0</v>
      </c>
      <c r="N16" s="602">
        <f t="shared" si="1"/>
        <v>90</v>
      </c>
      <c r="O16" s="604">
        <v>0</v>
      </c>
      <c r="P16" s="605">
        <v>0</v>
      </c>
      <c r="Q16" s="605">
        <v>0</v>
      </c>
      <c r="R16" s="604">
        <v>0</v>
      </c>
    </row>
    <row r="17" spans="1:21" s="430" customFormat="1" ht="24.95" customHeight="1" x14ac:dyDescent="0.2">
      <c r="A17" s="434">
        <v>6</v>
      </c>
      <c r="B17" s="544" t="s">
        <v>397</v>
      </c>
      <c r="C17" s="350">
        <v>912</v>
      </c>
      <c r="D17" s="350">
        <v>75</v>
      </c>
      <c r="E17" s="350">
        <v>0</v>
      </c>
      <c r="F17" s="434">
        <f t="shared" si="0"/>
        <v>987</v>
      </c>
      <c r="G17" s="604">
        <v>898</v>
      </c>
      <c r="H17" s="605">
        <v>16</v>
      </c>
      <c r="I17" s="605">
        <v>0</v>
      </c>
      <c r="J17" s="606">
        <f t="shared" si="2"/>
        <v>914</v>
      </c>
      <c r="K17" s="607">
        <v>36</v>
      </c>
      <c r="L17" s="607">
        <v>0</v>
      </c>
      <c r="M17" s="607">
        <v>0</v>
      </c>
      <c r="N17" s="602">
        <f t="shared" si="1"/>
        <v>36</v>
      </c>
      <c r="O17" s="604">
        <v>0</v>
      </c>
      <c r="P17" s="605">
        <v>0</v>
      </c>
      <c r="Q17" s="605">
        <v>0</v>
      </c>
      <c r="R17" s="604">
        <v>0</v>
      </c>
    </row>
    <row r="18" spans="1:21" s="430" customFormat="1" ht="24.95" customHeight="1" x14ac:dyDescent="0.2">
      <c r="A18" s="434">
        <v>7</v>
      </c>
      <c r="B18" s="544" t="s">
        <v>398</v>
      </c>
      <c r="C18" s="350">
        <v>1382</v>
      </c>
      <c r="D18" s="350">
        <v>38</v>
      </c>
      <c r="E18" s="350">
        <v>2</v>
      </c>
      <c r="F18" s="434">
        <f t="shared" si="0"/>
        <v>1422</v>
      </c>
      <c r="G18" s="604">
        <v>1281</v>
      </c>
      <c r="H18" s="605">
        <v>35</v>
      </c>
      <c r="I18" s="605">
        <v>2</v>
      </c>
      <c r="J18" s="606">
        <f t="shared" si="2"/>
        <v>1318</v>
      </c>
      <c r="K18" s="607">
        <v>69</v>
      </c>
      <c r="L18" s="607">
        <v>0</v>
      </c>
      <c r="M18" s="607">
        <v>0</v>
      </c>
      <c r="N18" s="602">
        <f t="shared" si="1"/>
        <v>69</v>
      </c>
      <c r="O18" s="604">
        <v>0</v>
      </c>
      <c r="P18" s="605">
        <v>0</v>
      </c>
      <c r="Q18" s="605">
        <v>0</v>
      </c>
      <c r="R18" s="604">
        <v>0</v>
      </c>
    </row>
    <row r="19" spans="1:21" s="430" customFormat="1" ht="24.95" customHeight="1" x14ac:dyDescent="0.2">
      <c r="A19" s="434">
        <v>8</v>
      </c>
      <c r="B19" s="544" t="s">
        <v>399</v>
      </c>
      <c r="C19" s="350">
        <v>2127</v>
      </c>
      <c r="D19" s="350">
        <v>95</v>
      </c>
      <c r="E19" s="350">
        <v>2</v>
      </c>
      <c r="F19" s="434">
        <f t="shared" si="0"/>
        <v>2224</v>
      </c>
      <c r="G19" s="604">
        <v>1855</v>
      </c>
      <c r="H19" s="605">
        <v>90</v>
      </c>
      <c r="I19" s="605">
        <v>2</v>
      </c>
      <c r="J19" s="606">
        <f t="shared" si="2"/>
        <v>1947</v>
      </c>
      <c r="K19" s="607">
        <v>22</v>
      </c>
      <c r="L19" s="607">
        <v>0</v>
      </c>
      <c r="M19" s="607">
        <v>0</v>
      </c>
      <c r="N19" s="602">
        <f t="shared" si="1"/>
        <v>22</v>
      </c>
      <c r="O19" s="604">
        <v>0</v>
      </c>
      <c r="P19" s="605">
        <v>0</v>
      </c>
      <c r="Q19" s="605">
        <v>0</v>
      </c>
      <c r="R19" s="604">
        <v>0</v>
      </c>
    </row>
    <row r="20" spans="1:21" s="430" customFormat="1" ht="24.95" customHeight="1" x14ac:dyDescent="0.2">
      <c r="A20" s="434">
        <v>9</v>
      </c>
      <c r="B20" s="544" t="s">
        <v>400</v>
      </c>
      <c r="C20" s="350">
        <v>1544</v>
      </c>
      <c r="D20" s="350">
        <v>15</v>
      </c>
      <c r="E20" s="350">
        <v>0</v>
      </c>
      <c r="F20" s="434">
        <f t="shared" si="0"/>
        <v>1559</v>
      </c>
      <c r="G20" s="604">
        <v>1413</v>
      </c>
      <c r="H20" s="605">
        <v>15</v>
      </c>
      <c r="I20" s="605">
        <v>0</v>
      </c>
      <c r="J20" s="606">
        <f t="shared" si="2"/>
        <v>1428</v>
      </c>
      <c r="K20" s="607">
        <v>66</v>
      </c>
      <c r="L20" s="607">
        <v>0</v>
      </c>
      <c r="M20" s="607">
        <v>0</v>
      </c>
      <c r="N20" s="602">
        <f t="shared" si="1"/>
        <v>66</v>
      </c>
      <c r="O20" s="604">
        <v>0</v>
      </c>
      <c r="P20" s="605">
        <v>0</v>
      </c>
      <c r="Q20" s="605">
        <v>0</v>
      </c>
      <c r="R20" s="604">
        <v>0</v>
      </c>
    </row>
    <row r="21" spans="1:21" s="430" customFormat="1" ht="24.95" customHeight="1" x14ac:dyDescent="0.2">
      <c r="A21" s="434">
        <v>10</v>
      </c>
      <c r="B21" s="544" t="s">
        <v>401</v>
      </c>
      <c r="C21" s="350">
        <v>781</v>
      </c>
      <c r="D21" s="350">
        <v>33</v>
      </c>
      <c r="E21" s="350">
        <v>0</v>
      </c>
      <c r="F21" s="434">
        <f t="shared" si="0"/>
        <v>814</v>
      </c>
      <c r="G21" s="604">
        <v>713</v>
      </c>
      <c r="H21" s="605">
        <v>20</v>
      </c>
      <c r="I21" s="605">
        <v>0</v>
      </c>
      <c r="J21" s="606">
        <f t="shared" si="2"/>
        <v>733</v>
      </c>
      <c r="K21" s="607">
        <v>40</v>
      </c>
      <c r="L21" s="607">
        <v>0</v>
      </c>
      <c r="M21" s="607">
        <v>0</v>
      </c>
      <c r="N21" s="602">
        <f t="shared" si="1"/>
        <v>40</v>
      </c>
      <c r="O21" s="604">
        <v>0</v>
      </c>
      <c r="P21" s="605">
        <v>0</v>
      </c>
      <c r="Q21" s="605">
        <v>0</v>
      </c>
      <c r="R21" s="604">
        <v>0</v>
      </c>
    </row>
    <row r="22" spans="1:21" s="567" customFormat="1" ht="24.95" customHeight="1" x14ac:dyDescent="0.25">
      <c r="A22" s="434">
        <v>11</v>
      </c>
      <c r="B22" s="544" t="s">
        <v>402</v>
      </c>
      <c r="C22" s="350">
        <v>1948</v>
      </c>
      <c r="D22" s="350">
        <v>40</v>
      </c>
      <c r="E22" s="350">
        <v>0</v>
      </c>
      <c r="F22" s="434">
        <f t="shared" si="0"/>
        <v>1988</v>
      </c>
      <c r="G22" s="608">
        <v>1870</v>
      </c>
      <c r="H22" s="607">
        <v>32</v>
      </c>
      <c r="I22" s="607">
        <v>0</v>
      </c>
      <c r="J22" s="606">
        <f t="shared" si="2"/>
        <v>1902</v>
      </c>
      <c r="K22" s="607">
        <v>72</v>
      </c>
      <c r="L22" s="607">
        <v>0</v>
      </c>
      <c r="M22" s="607">
        <v>0</v>
      </c>
      <c r="N22" s="602">
        <f t="shared" si="1"/>
        <v>72</v>
      </c>
      <c r="O22" s="604">
        <v>0</v>
      </c>
      <c r="P22" s="605">
        <v>0</v>
      </c>
      <c r="Q22" s="605">
        <v>0</v>
      </c>
      <c r="R22" s="604">
        <v>0</v>
      </c>
      <c r="T22" s="430"/>
      <c r="U22" s="430"/>
    </row>
    <row r="23" spans="1:21" s="567" customFormat="1" ht="24.95" customHeight="1" x14ac:dyDescent="0.25">
      <c r="A23" s="434">
        <v>12</v>
      </c>
      <c r="B23" s="544" t="s">
        <v>403</v>
      </c>
      <c r="C23" s="350">
        <v>1112</v>
      </c>
      <c r="D23" s="350">
        <v>84</v>
      </c>
      <c r="E23" s="350">
        <v>0</v>
      </c>
      <c r="F23" s="434">
        <f t="shared" si="0"/>
        <v>1196</v>
      </c>
      <c r="G23" s="608">
        <v>1065</v>
      </c>
      <c r="H23" s="607">
        <v>69</v>
      </c>
      <c r="I23" s="607">
        <v>0</v>
      </c>
      <c r="J23" s="606">
        <f t="shared" si="2"/>
        <v>1134</v>
      </c>
      <c r="K23" s="607">
        <v>46</v>
      </c>
      <c r="L23" s="607">
        <v>0</v>
      </c>
      <c r="M23" s="607">
        <v>0</v>
      </c>
      <c r="N23" s="602">
        <f t="shared" si="1"/>
        <v>46</v>
      </c>
      <c r="O23" s="604">
        <v>0</v>
      </c>
      <c r="P23" s="605">
        <v>0</v>
      </c>
      <c r="Q23" s="605">
        <v>0</v>
      </c>
      <c r="R23" s="604">
        <v>0</v>
      </c>
      <c r="T23" s="430"/>
      <c r="U23" s="430"/>
    </row>
    <row r="24" spans="1:21" s="567" customFormat="1" ht="24.95" customHeight="1" x14ac:dyDescent="0.25">
      <c r="A24" s="434">
        <v>13</v>
      </c>
      <c r="B24" s="544" t="s">
        <v>404</v>
      </c>
      <c r="C24" s="350">
        <v>1062</v>
      </c>
      <c r="D24" s="350">
        <v>4</v>
      </c>
      <c r="E24" s="350">
        <v>0</v>
      </c>
      <c r="F24" s="434">
        <f t="shared" si="0"/>
        <v>1066</v>
      </c>
      <c r="G24" s="608">
        <v>924</v>
      </c>
      <c r="H24" s="607">
        <v>0</v>
      </c>
      <c r="I24" s="607">
        <v>0</v>
      </c>
      <c r="J24" s="606">
        <f t="shared" si="2"/>
        <v>924</v>
      </c>
      <c r="K24" s="607">
        <v>53</v>
      </c>
      <c r="L24" s="607">
        <v>0</v>
      </c>
      <c r="M24" s="607">
        <v>0</v>
      </c>
      <c r="N24" s="602">
        <f t="shared" si="1"/>
        <v>53</v>
      </c>
      <c r="O24" s="604">
        <v>0</v>
      </c>
      <c r="P24" s="605">
        <v>0</v>
      </c>
      <c r="Q24" s="605">
        <v>0</v>
      </c>
      <c r="R24" s="604">
        <v>0</v>
      </c>
      <c r="T24" s="430"/>
      <c r="U24" s="430"/>
    </row>
    <row r="25" spans="1:21" s="548" customFormat="1" ht="24.95" customHeight="1" x14ac:dyDescent="0.25">
      <c r="A25" s="545"/>
      <c r="B25" s="545" t="s">
        <v>18</v>
      </c>
      <c r="C25" s="546">
        <v>16873</v>
      </c>
      <c r="D25" s="546">
        <v>593</v>
      </c>
      <c r="E25" s="546">
        <v>19</v>
      </c>
      <c r="F25" s="547" t="s">
        <v>986</v>
      </c>
      <c r="G25" s="547">
        <f t="shared" ref="G25:R25" si="3">SUM(G12:G24)</f>
        <v>15453</v>
      </c>
      <c r="H25" s="547">
        <f t="shared" si="3"/>
        <v>462</v>
      </c>
      <c r="I25" s="547">
        <f t="shared" si="3"/>
        <v>18</v>
      </c>
      <c r="J25" s="547">
        <f t="shared" si="3"/>
        <v>15933</v>
      </c>
      <c r="K25" s="547">
        <f t="shared" si="3"/>
        <v>614</v>
      </c>
      <c r="L25" s="547">
        <f t="shared" si="3"/>
        <v>0</v>
      </c>
      <c r="M25" s="547">
        <f t="shared" si="3"/>
        <v>0</v>
      </c>
      <c r="N25" s="547">
        <f t="shared" si="3"/>
        <v>614</v>
      </c>
      <c r="O25" s="547">
        <f t="shared" si="3"/>
        <v>0</v>
      </c>
      <c r="P25" s="547">
        <f t="shared" si="3"/>
        <v>0</v>
      </c>
      <c r="Q25" s="547">
        <f t="shared" si="3"/>
        <v>0</v>
      </c>
      <c r="R25" s="547">
        <f t="shared" si="3"/>
        <v>0</v>
      </c>
      <c r="T25" s="430"/>
    </row>
    <row r="26" spans="1:21" x14ac:dyDescent="0.25">
      <c r="A26" s="536" t="s">
        <v>598</v>
      </c>
      <c r="T26" s="430"/>
    </row>
    <row r="27" spans="1:21" x14ac:dyDescent="0.25">
      <c r="A27" s="548" t="s">
        <v>987</v>
      </c>
    </row>
    <row r="28" spans="1:21" s="533" customFormat="1" ht="12.75" x14ac:dyDescent="0.2">
      <c r="A28" s="549" t="s">
        <v>11</v>
      </c>
      <c r="G28" s="549"/>
      <c r="H28" s="549"/>
      <c r="K28" s="549"/>
      <c r="L28" s="549"/>
      <c r="M28" s="549"/>
      <c r="N28" s="549"/>
      <c r="O28" s="549"/>
      <c r="P28" s="549"/>
      <c r="Q28" s="550" t="s">
        <v>12</v>
      </c>
    </row>
    <row r="29" spans="1:21" s="533" customFormat="1" ht="12.75" customHeight="1" x14ac:dyDescent="0.2">
      <c r="P29" s="551" t="s">
        <v>13</v>
      </c>
      <c r="R29" s="551"/>
      <c r="S29" s="551"/>
      <c r="T29" s="551"/>
    </row>
    <row r="30" spans="1:21" s="533" customFormat="1" ht="12.75" customHeight="1" x14ac:dyDescent="0.2">
      <c r="P30" s="551" t="s">
        <v>88</v>
      </c>
      <c r="Q30" s="551"/>
      <c r="R30" s="551"/>
      <c r="S30" s="551"/>
      <c r="T30" s="551"/>
    </row>
    <row r="31" spans="1:21" s="533" customFormat="1" ht="12.75" x14ac:dyDescent="0.2">
      <c r="A31" s="549"/>
      <c r="B31" s="549"/>
      <c r="K31" s="549"/>
      <c r="L31" s="549"/>
      <c r="M31" s="549"/>
      <c r="N31" s="549"/>
      <c r="O31" s="549"/>
      <c r="P31" s="549"/>
      <c r="Q31" s="551" t="s">
        <v>85</v>
      </c>
      <c r="R31" s="551"/>
    </row>
    <row r="33" spans="8:8" x14ac:dyDescent="0.25">
      <c r="H33" s="822"/>
    </row>
  </sheetData>
  <mergeCells count="11">
    <mergeCell ref="O9:R9"/>
    <mergeCell ref="R2:S2"/>
    <mergeCell ref="A4:R4"/>
    <mergeCell ref="A3:R3"/>
    <mergeCell ref="A5:S5"/>
    <mergeCell ref="C9:F9"/>
    <mergeCell ref="K9:N9"/>
    <mergeCell ref="G9:J9"/>
    <mergeCell ref="A7:C7"/>
    <mergeCell ref="A9:A10"/>
    <mergeCell ref="B9:B10"/>
  </mergeCells>
  <phoneticPr fontId="0" type="noConversion"/>
  <printOptions horizontalCentered="1"/>
  <pageMargins left="0.38" right="0.3" top="0.23622047244094491" bottom="0" header="0.31496062992125984" footer="0.31496062992125984"/>
  <pageSetup paperSize="9" scale="84"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C00000"/>
    <pageSetUpPr fitToPage="1"/>
  </sheetPr>
  <dimension ref="A1:AS30"/>
  <sheetViews>
    <sheetView view="pageBreakPreview" topLeftCell="A14" zoomScale="70" zoomScaleSheetLayoutView="70" workbookViewId="0">
      <selection activeCell="N16" sqref="N16"/>
    </sheetView>
  </sheetViews>
  <sheetFormatPr defaultRowHeight="25.5" customHeight="1" x14ac:dyDescent="0.25"/>
  <cols>
    <col min="1" max="1" width="8.140625" style="536" customWidth="1"/>
    <col min="2" max="2" width="18.85546875" style="536" customWidth="1"/>
    <col min="3" max="3" width="15.42578125" style="536" customWidth="1"/>
    <col min="4" max="4" width="14.85546875" style="536" customWidth="1"/>
    <col min="5" max="5" width="11.85546875" style="536" customWidth="1"/>
    <col min="6" max="6" width="9.85546875" style="536" customWidth="1"/>
    <col min="7" max="7" width="12.7109375" style="536" customWidth="1"/>
    <col min="8" max="9" width="11" style="536" customWidth="1"/>
    <col min="10" max="10" width="14.140625" style="536" customWidth="1"/>
    <col min="11" max="11" width="14.5703125" style="536" customWidth="1"/>
    <col min="12" max="12" width="13.140625" style="536" customWidth="1"/>
    <col min="13" max="13" width="9.7109375" style="536" customWidth="1"/>
    <col min="14" max="14" width="9.5703125" style="536" customWidth="1"/>
    <col min="15" max="15" width="12.7109375" style="536" customWidth="1"/>
    <col min="16" max="16" width="13.28515625" style="536" customWidth="1"/>
    <col min="17" max="17" width="11.28515625" style="536" customWidth="1"/>
    <col min="18" max="18" width="9.28515625" style="536" customWidth="1"/>
    <col min="19" max="19" width="11.85546875" style="536" customWidth="1"/>
    <col min="20" max="20" width="12.28515625" style="536" customWidth="1"/>
    <col min="21" max="16384" width="9.140625" style="536"/>
  </cols>
  <sheetData>
    <row r="1" spans="1:20" ht="25.5" customHeight="1" x14ac:dyDescent="0.25">
      <c r="R1" s="1415" t="s">
        <v>710</v>
      </c>
      <c r="S1" s="1415"/>
    </row>
    <row r="2" spans="1:20" s="533" customFormat="1" ht="25.5" customHeight="1" x14ac:dyDescent="0.25">
      <c r="A2" s="1413" t="s">
        <v>0</v>
      </c>
      <c r="B2" s="1413"/>
      <c r="C2" s="1413"/>
      <c r="D2" s="1413"/>
      <c r="E2" s="1413"/>
      <c r="F2" s="1413"/>
      <c r="G2" s="1413"/>
      <c r="H2" s="1413"/>
      <c r="I2" s="1413"/>
      <c r="J2" s="1413"/>
      <c r="K2" s="1413"/>
      <c r="L2" s="1413"/>
      <c r="M2" s="1413"/>
      <c r="N2" s="1413"/>
      <c r="O2" s="1413"/>
      <c r="P2" s="1413"/>
      <c r="Q2" s="1413"/>
      <c r="R2" s="1413"/>
      <c r="S2" s="1413"/>
    </row>
    <row r="3" spans="1:20" s="533" customFormat="1" ht="25.5" customHeight="1" x14ac:dyDescent="0.25">
      <c r="A3" s="1413" t="s">
        <v>664</v>
      </c>
      <c r="B3" s="1413"/>
      <c r="C3" s="1413"/>
      <c r="D3" s="1413"/>
      <c r="E3" s="1413"/>
      <c r="F3" s="1413"/>
      <c r="G3" s="1413"/>
      <c r="H3" s="1413"/>
      <c r="I3" s="1413"/>
      <c r="J3" s="1413"/>
      <c r="K3" s="1413"/>
      <c r="L3" s="1413"/>
      <c r="M3" s="1413"/>
      <c r="N3" s="1413"/>
      <c r="O3" s="1413"/>
      <c r="P3" s="1413"/>
      <c r="Q3" s="1413"/>
      <c r="R3" s="1413"/>
      <c r="S3" s="1413"/>
    </row>
    <row r="4" spans="1:20" ht="25.5" customHeight="1" x14ac:dyDescent="0.3">
      <c r="A4" s="1414" t="s">
        <v>711</v>
      </c>
      <c r="B4" s="1414"/>
      <c r="C4" s="1414"/>
      <c r="D4" s="1414"/>
      <c r="E4" s="1414"/>
      <c r="F4" s="1414"/>
      <c r="G4" s="1414"/>
      <c r="H4" s="1414"/>
      <c r="I4" s="1414"/>
      <c r="J4" s="1414"/>
      <c r="K4" s="1414"/>
      <c r="L4" s="1414"/>
      <c r="M4" s="1414"/>
      <c r="N4" s="1414"/>
      <c r="O4" s="1414"/>
      <c r="P4" s="1414"/>
      <c r="Q4" s="1414"/>
      <c r="R4" s="1414"/>
      <c r="S4" s="1414"/>
      <c r="T4" s="552"/>
    </row>
    <row r="5" spans="1:20" ht="25.5" customHeight="1" x14ac:dyDescent="0.25">
      <c r="A5" s="1407" t="s">
        <v>463</v>
      </c>
      <c r="B5" s="1407"/>
      <c r="C5" s="1407"/>
    </row>
    <row r="6" spans="1:20" ht="25.5" customHeight="1" x14ac:dyDescent="0.25">
      <c r="B6" s="538"/>
      <c r="Q6" s="553" t="s">
        <v>154</v>
      </c>
    </row>
    <row r="7" spans="1:20" s="540" customFormat="1" ht="25.5" customHeight="1" x14ac:dyDescent="0.25">
      <c r="A7" s="1416" t="s">
        <v>2</v>
      </c>
      <c r="B7" s="1411" t="s">
        <v>3</v>
      </c>
      <c r="C7" s="1411" t="s">
        <v>127</v>
      </c>
      <c r="D7" s="1411"/>
      <c r="E7" s="1411"/>
      <c r="F7" s="1411"/>
      <c r="G7" s="1411" t="s">
        <v>129</v>
      </c>
      <c r="H7" s="1411"/>
      <c r="I7" s="1411"/>
      <c r="J7" s="1411"/>
      <c r="K7" s="1411" t="s">
        <v>130</v>
      </c>
      <c r="L7" s="1411"/>
      <c r="M7" s="1411"/>
      <c r="N7" s="1411"/>
      <c r="O7" s="1411" t="s">
        <v>131</v>
      </c>
      <c r="P7" s="1411"/>
      <c r="Q7" s="1411"/>
      <c r="R7" s="1411"/>
      <c r="S7" s="1412" t="s">
        <v>178</v>
      </c>
    </row>
    <row r="8" spans="1:20" s="542" customFormat="1" ht="75" x14ac:dyDescent="0.25">
      <c r="A8" s="1416"/>
      <c r="B8" s="1411"/>
      <c r="C8" s="555" t="s">
        <v>175</v>
      </c>
      <c r="D8" s="556" t="s">
        <v>177</v>
      </c>
      <c r="E8" s="555" t="s">
        <v>153</v>
      </c>
      <c r="F8" s="556" t="s">
        <v>176</v>
      </c>
      <c r="G8" s="555" t="s">
        <v>271</v>
      </c>
      <c r="H8" s="556" t="s">
        <v>177</v>
      </c>
      <c r="I8" s="555" t="s">
        <v>153</v>
      </c>
      <c r="J8" s="556" t="s">
        <v>176</v>
      </c>
      <c r="K8" s="555" t="s">
        <v>271</v>
      </c>
      <c r="L8" s="556" t="s">
        <v>177</v>
      </c>
      <c r="M8" s="555" t="s">
        <v>153</v>
      </c>
      <c r="N8" s="556" t="s">
        <v>176</v>
      </c>
      <c r="O8" s="555" t="s">
        <v>271</v>
      </c>
      <c r="P8" s="556" t="s">
        <v>177</v>
      </c>
      <c r="Q8" s="555" t="s">
        <v>153</v>
      </c>
      <c r="R8" s="556" t="s">
        <v>176</v>
      </c>
      <c r="S8" s="1412"/>
    </row>
    <row r="9" spans="1:20" s="542" customFormat="1" ht="37.5" customHeight="1" x14ac:dyDescent="0.25">
      <c r="A9" s="554">
        <v>1</v>
      </c>
      <c r="B9" s="555">
        <v>2</v>
      </c>
      <c r="C9" s="555">
        <v>3</v>
      </c>
      <c r="D9" s="555">
        <v>4</v>
      </c>
      <c r="E9" s="555">
        <v>5</v>
      </c>
      <c r="F9" s="555">
        <v>6</v>
      </c>
      <c r="G9" s="555">
        <v>7</v>
      </c>
      <c r="H9" s="555">
        <v>8</v>
      </c>
      <c r="I9" s="555">
        <v>9</v>
      </c>
      <c r="J9" s="555">
        <v>10</v>
      </c>
      <c r="K9" s="555">
        <v>11</v>
      </c>
      <c r="L9" s="555">
        <v>12</v>
      </c>
      <c r="M9" s="555">
        <v>13</v>
      </c>
      <c r="N9" s="555">
        <v>14</v>
      </c>
      <c r="O9" s="555">
        <v>15</v>
      </c>
      <c r="P9" s="555">
        <v>16</v>
      </c>
      <c r="Q9" s="555">
        <v>17</v>
      </c>
      <c r="R9" s="555">
        <v>18</v>
      </c>
      <c r="S9" s="557">
        <v>19</v>
      </c>
    </row>
    <row r="10" spans="1:20" ht="37.5" customHeight="1" x14ac:dyDescent="0.25">
      <c r="A10" s="558">
        <v>1</v>
      </c>
      <c r="B10" s="544" t="s">
        <v>392</v>
      </c>
      <c r="C10" s="568">
        <v>0</v>
      </c>
      <c r="D10" s="568">
        <v>0</v>
      </c>
      <c r="E10" s="568">
        <v>0</v>
      </c>
      <c r="F10" s="568">
        <v>0</v>
      </c>
      <c r="G10" s="568">
        <v>0</v>
      </c>
      <c r="H10" s="568">
        <v>0</v>
      </c>
      <c r="I10" s="568">
        <v>0</v>
      </c>
      <c r="J10" s="568">
        <v>0</v>
      </c>
      <c r="K10" s="568">
        <v>0</v>
      </c>
      <c r="L10" s="568">
        <v>0</v>
      </c>
      <c r="M10" s="568">
        <v>0</v>
      </c>
      <c r="N10" s="568">
        <v>0</v>
      </c>
      <c r="O10" s="568">
        <v>0</v>
      </c>
      <c r="P10" s="568">
        <v>0</v>
      </c>
      <c r="Q10" s="568">
        <v>0</v>
      </c>
      <c r="R10" s="568">
        <v>0</v>
      </c>
      <c r="S10" s="568">
        <f>F10+J10+N10+R10</f>
        <v>0</v>
      </c>
    </row>
    <row r="11" spans="1:20" ht="37.5" customHeight="1" x14ac:dyDescent="0.25">
      <c r="A11" s="558">
        <v>2</v>
      </c>
      <c r="B11" s="544" t="s">
        <v>393</v>
      </c>
      <c r="C11" s="568">
        <v>0</v>
      </c>
      <c r="D11" s="568">
        <v>0</v>
      </c>
      <c r="E11" s="568">
        <v>0</v>
      </c>
      <c r="F11" s="568">
        <v>0</v>
      </c>
      <c r="G11" s="568">
        <v>0</v>
      </c>
      <c r="H11" s="568">
        <v>0</v>
      </c>
      <c r="I11" s="568">
        <v>0</v>
      </c>
      <c r="J11" s="568">
        <v>0</v>
      </c>
      <c r="K11" s="568">
        <v>0</v>
      </c>
      <c r="L11" s="568">
        <v>0</v>
      </c>
      <c r="M11" s="568">
        <v>0</v>
      </c>
      <c r="N11" s="568">
        <v>0</v>
      </c>
      <c r="O11" s="568">
        <v>0</v>
      </c>
      <c r="P11" s="568">
        <v>0</v>
      </c>
      <c r="Q11" s="568">
        <v>0</v>
      </c>
      <c r="R11" s="568">
        <v>0</v>
      </c>
      <c r="S11" s="569">
        <f t="shared" ref="S11:S18" si="0">F11+J11+N11+R11</f>
        <v>0</v>
      </c>
    </row>
    <row r="12" spans="1:20" ht="37.5" customHeight="1" x14ac:dyDescent="0.25">
      <c r="A12" s="558">
        <v>3</v>
      </c>
      <c r="B12" s="544" t="s">
        <v>394</v>
      </c>
      <c r="C12" s="568">
        <v>0</v>
      </c>
      <c r="D12" s="568">
        <v>0</v>
      </c>
      <c r="E12" s="568">
        <v>0</v>
      </c>
      <c r="F12" s="568">
        <v>0</v>
      </c>
      <c r="G12" s="568">
        <v>0</v>
      </c>
      <c r="H12" s="568">
        <v>0</v>
      </c>
      <c r="I12" s="568">
        <v>0</v>
      </c>
      <c r="J12" s="568">
        <v>0</v>
      </c>
      <c r="K12" s="568">
        <v>0</v>
      </c>
      <c r="L12" s="568">
        <v>0</v>
      </c>
      <c r="M12" s="568">
        <v>0</v>
      </c>
      <c r="N12" s="568">
        <v>0</v>
      </c>
      <c r="O12" s="568">
        <v>0</v>
      </c>
      <c r="P12" s="568">
        <v>0</v>
      </c>
      <c r="Q12" s="568">
        <v>0</v>
      </c>
      <c r="R12" s="568">
        <v>0</v>
      </c>
      <c r="S12" s="568">
        <f t="shared" si="0"/>
        <v>0</v>
      </c>
    </row>
    <row r="13" spans="1:20" ht="37.5" customHeight="1" x14ac:dyDescent="0.25">
      <c r="A13" s="558">
        <v>4</v>
      </c>
      <c r="B13" s="544" t="s">
        <v>395</v>
      </c>
      <c r="C13" s="568">
        <v>0</v>
      </c>
      <c r="D13" s="568">
        <v>0</v>
      </c>
      <c r="E13" s="568">
        <v>0</v>
      </c>
      <c r="F13" s="568">
        <v>0</v>
      </c>
      <c r="G13" s="568">
        <v>0</v>
      </c>
      <c r="H13" s="568">
        <v>0</v>
      </c>
      <c r="I13" s="568">
        <v>0</v>
      </c>
      <c r="J13" s="568">
        <v>0</v>
      </c>
      <c r="K13" s="568">
        <v>0</v>
      </c>
      <c r="L13" s="568">
        <v>0</v>
      </c>
      <c r="M13" s="568">
        <v>0</v>
      </c>
      <c r="N13" s="568">
        <v>0</v>
      </c>
      <c r="O13" s="568">
        <v>0</v>
      </c>
      <c r="P13" s="568">
        <v>0</v>
      </c>
      <c r="Q13" s="568">
        <v>0</v>
      </c>
      <c r="R13" s="568">
        <v>0</v>
      </c>
      <c r="S13" s="568">
        <f t="shared" si="0"/>
        <v>0</v>
      </c>
    </row>
    <row r="14" spans="1:20" ht="37.5" customHeight="1" x14ac:dyDescent="0.25">
      <c r="A14" s="558">
        <v>5</v>
      </c>
      <c r="B14" s="544" t="s">
        <v>396</v>
      </c>
      <c r="C14" s="568">
        <v>0</v>
      </c>
      <c r="D14" s="568">
        <v>0</v>
      </c>
      <c r="E14" s="568">
        <v>0</v>
      </c>
      <c r="F14" s="568">
        <v>0</v>
      </c>
      <c r="G14" s="568">
        <v>0</v>
      </c>
      <c r="H14" s="568">
        <v>0</v>
      </c>
      <c r="I14" s="568">
        <v>0</v>
      </c>
      <c r="J14" s="568">
        <v>0</v>
      </c>
      <c r="K14" s="568">
        <v>0</v>
      </c>
      <c r="L14" s="568">
        <v>0</v>
      </c>
      <c r="M14" s="568">
        <v>0</v>
      </c>
      <c r="N14" s="568">
        <v>0</v>
      </c>
      <c r="O14" s="568">
        <v>0</v>
      </c>
      <c r="P14" s="568">
        <v>0</v>
      </c>
      <c r="Q14" s="568">
        <v>0</v>
      </c>
      <c r="R14" s="568">
        <v>0</v>
      </c>
      <c r="S14" s="568">
        <f t="shared" si="0"/>
        <v>0</v>
      </c>
    </row>
    <row r="15" spans="1:20" ht="37.5" customHeight="1" x14ac:dyDescent="0.25">
      <c r="A15" s="558">
        <v>6</v>
      </c>
      <c r="B15" s="544" t="s">
        <v>397</v>
      </c>
      <c r="C15" s="568">
        <v>0</v>
      </c>
      <c r="D15" s="568">
        <v>0</v>
      </c>
      <c r="E15" s="568">
        <v>0</v>
      </c>
      <c r="F15" s="568">
        <v>0</v>
      </c>
      <c r="G15" s="568">
        <v>0</v>
      </c>
      <c r="H15" s="568">
        <v>0</v>
      </c>
      <c r="I15" s="568">
        <v>0</v>
      </c>
      <c r="J15" s="568">
        <v>0</v>
      </c>
      <c r="K15" s="568">
        <v>0</v>
      </c>
      <c r="L15" s="568">
        <v>0</v>
      </c>
      <c r="M15" s="568">
        <v>0</v>
      </c>
      <c r="N15" s="568">
        <v>0</v>
      </c>
      <c r="O15" s="568">
        <v>0</v>
      </c>
      <c r="P15" s="568">
        <v>0</v>
      </c>
      <c r="Q15" s="568">
        <v>0</v>
      </c>
      <c r="R15" s="568">
        <v>0</v>
      </c>
      <c r="S15" s="568">
        <f t="shared" si="0"/>
        <v>0</v>
      </c>
    </row>
    <row r="16" spans="1:20" ht="37.5" customHeight="1" x14ac:dyDescent="0.25">
      <c r="A16" s="558">
        <v>7</v>
      </c>
      <c r="B16" s="544" t="s">
        <v>398</v>
      </c>
      <c r="C16" s="568">
        <v>0</v>
      </c>
      <c r="D16" s="568">
        <v>0</v>
      </c>
      <c r="E16" s="568">
        <v>0</v>
      </c>
      <c r="F16" s="568">
        <v>0</v>
      </c>
      <c r="G16" s="568">
        <v>0</v>
      </c>
      <c r="H16" s="568">
        <v>0</v>
      </c>
      <c r="I16" s="568">
        <v>0</v>
      </c>
      <c r="J16" s="568">
        <v>0</v>
      </c>
      <c r="K16" s="568">
        <v>0</v>
      </c>
      <c r="L16" s="568">
        <v>0</v>
      </c>
      <c r="M16" s="568">
        <v>0</v>
      </c>
      <c r="N16" s="568">
        <v>0</v>
      </c>
      <c r="O16" s="568">
        <v>0</v>
      </c>
      <c r="P16" s="568">
        <v>0</v>
      </c>
      <c r="Q16" s="568">
        <v>0</v>
      </c>
      <c r="R16" s="568">
        <v>0</v>
      </c>
      <c r="S16" s="568">
        <f t="shared" si="0"/>
        <v>0</v>
      </c>
    </row>
    <row r="17" spans="1:45" ht="37.5" customHeight="1" x14ac:dyDescent="0.25">
      <c r="A17" s="558">
        <v>8</v>
      </c>
      <c r="B17" s="544" t="s">
        <v>399</v>
      </c>
      <c r="C17" s="568">
        <v>0</v>
      </c>
      <c r="D17" s="568">
        <v>0</v>
      </c>
      <c r="E17" s="568">
        <v>0</v>
      </c>
      <c r="F17" s="568">
        <v>0</v>
      </c>
      <c r="G17" s="568">
        <v>0</v>
      </c>
      <c r="H17" s="568">
        <v>0</v>
      </c>
      <c r="I17" s="568">
        <v>0</v>
      </c>
      <c r="J17" s="568">
        <v>0</v>
      </c>
      <c r="K17" s="568">
        <v>0</v>
      </c>
      <c r="L17" s="568">
        <v>0</v>
      </c>
      <c r="M17" s="568">
        <v>0</v>
      </c>
      <c r="N17" s="568">
        <v>0</v>
      </c>
      <c r="O17" s="568">
        <v>0</v>
      </c>
      <c r="P17" s="568">
        <v>0</v>
      </c>
      <c r="Q17" s="568">
        <v>0</v>
      </c>
      <c r="R17" s="568">
        <v>0</v>
      </c>
      <c r="S17" s="568">
        <f t="shared" si="0"/>
        <v>0</v>
      </c>
    </row>
    <row r="18" spans="1:45" s="560" customFormat="1" ht="37.5" customHeight="1" x14ac:dyDescent="0.25">
      <c r="A18" s="558">
        <v>9</v>
      </c>
      <c r="B18" s="544" t="s">
        <v>400</v>
      </c>
      <c r="C18" s="568">
        <v>0</v>
      </c>
      <c r="D18" s="568">
        <v>0</v>
      </c>
      <c r="E18" s="568">
        <v>0</v>
      </c>
      <c r="F18" s="568">
        <v>0</v>
      </c>
      <c r="G18" s="568">
        <v>0</v>
      </c>
      <c r="H18" s="568">
        <v>0</v>
      </c>
      <c r="I18" s="568">
        <v>0</v>
      </c>
      <c r="J18" s="568">
        <v>0</v>
      </c>
      <c r="K18" s="568">
        <v>0</v>
      </c>
      <c r="L18" s="568">
        <v>0</v>
      </c>
      <c r="M18" s="568">
        <v>0</v>
      </c>
      <c r="N18" s="568">
        <v>0</v>
      </c>
      <c r="O18" s="568">
        <v>0</v>
      </c>
      <c r="P18" s="568">
        <v>0</v>
      </c>
      <c r="Q18" s="568">
        <v>0</v>
      </c>
      <c r="R18" s="568">
        <v>0</v>
      </c>
      <c r="S18" s="568">
        <f t="shared" si="0"/>
        <v>0</v>
      </c>
      <c r="T18" s="559"/>
      <c r="U18" s="559"/>
      <c r="V18" s="559"/>
      <c r="W18" s="559"/>
      <c r="X18" s="559"/>
      <c r="Y18" s="559"/>
      <c r="Z18" s="559"/>
      <c r="AA18" s="559"/>
      <c r="AB18" s="559"/>
      <c r="AC18" s="559"/>
      <c r="AD18" s="559"/>
      <c r="AE18" s="559"/>
      <c r="AF18" s="559"/>
      <c r="AG18" s="559"/>
      <c r="AH18" s="559"/>
      <c r="AI18" s="559"/>
      <c r="AJ18" s="559"/>
      <c r="AK18" s="559"/>
      <c r="AL18" s="559"/>
      <c r="AM18" s="559"/>
      <c r="AN18" s="559"/>
      <c r="AO18" s="559"/>
      <c r="AP18" s="559"/>
      <c r="AQ18" s="559"/>
      <c r="AR18" s="559"/>
      <c r="AS18" s="559"/>
    </row>
    <row r="19" spans="1:45" ht="37.5" customHeight="1" x14ac:dyDescent="0.25">
      <c r="A19" s="558">
        <v>10</v>
      </c>
      <c r="B19" s="544" t="s">
        <v>401</v>
      </c>
      <c r="C19" s="568">
        <v>0</v>
      </c>
      <c r="D19" s="568">
        <v>0</v>
      </c>
      <c r="E19" s="568">
        <v>0</v>
      </c>
      <c r="F19" s="568">
        <v>0</v>
      </c>
      <c r="G19" s="568">
        <v>0</v>
      </c>
      <c r="H19" s="568">
        <v>0</v>
      </c>
      <c r="I19" s="568">
        <v>0</v>
      </c>
      <c r="J19" s="568">
        <v>0</v>
      </c>
      <c r="K19" s="568">
        <v>0</v>
      </c>
      <c r="L19" s="568">
        <v>0</v>
      </c>
      <c r="M19" s="568">
        <v>0</v>
      </c>
      <c r="N19" s="568">
        <v>0</v>
      </c>
      <c r="O19" s="568">
        <v>0</v>
      </c>
      <c r="P19" s="568">
        <v>0</v>
      </c>
      <c r="Q19" s="568">
        <v>0</v>
      </c>
      <c r="R19" s="568">
        <v>0</v>
      </c>
      <c r="S19" s="568">
        <f>F19+J19+N19+R19</f>
        <v>0</v>
      </c>
    </row>
    <row r="20" spans="1:45" ht="37.5" customHeight="1" x14ac:dyDescent="0.25">
      <c r="A20" s="558">
        <v>11</v>
      </c>
      <c r="B20" s="544" t="s">
        <v>402</v>
      </c>
      <c r="C20" s="568">
        <v>0</v>
      </c>
      <c r="D20" s="568">
        <v>0</v>
      </c>
      <c r="E20" s="568">
        <v>0</v>
      </c>
      <c r="F20" s="568">
        <v>0</v>
      </c>
      <c r="G20" s="568">
        <v>0</v>
      </c>
      <c r="H20" s="568">
        <v>0</v>
      </c>
      <c r="I20" s="568">
        <v>0</v>
      </c>
      <c r="J20" s="568">
        <v>0</v>
      </c>
      <c r="K20" s="568">
        <v>0</v>
      </c>
      <c r="L20" s="568">
        <v>0</v>
      </c>
      <c r="M20" s="568">
        <v>0</v>
      </c>
      <c r="N20" s="568">
        <v>0</v>
      </c>
      <c r="O20" s="568">
        <v>0</v>
      </c>
      <c r="P20" s="568">
        <v>0</v>
      </c>
      <c r="Q20" s="568">
        <v>0</v>
      </c>
      <c r="R20" s="568">
        <v>0</v>
      </c>
      <c r="S20" s="568">
        <f>F20+J20+N20+R20</f>
        <v>0</v>
      </c>
    </row>
    <row r="21" spans="1:45" ht="37.5" customHeight="1" x14ac:dyDescent="0.25">
      <c r="A21" s="558">
        <v>12</v>
      </c>
      <c r="B21" s="544" t="s">
        <v>403</v>
      </c>
      <c r="C21" s="568">
        <v>0</v>
      </c>
      <c r="D21" s="568">
        <v>0</v>
      </c>
      <c r="E21" s="568">
        <v>0</v>
      </c>
      <c r="F21" s="568">
        <v>0</v>
      </c>
      <c r="G21" s="568">
        <v>0</v>
      </c>
      <c r="H21" s="568">
        <v>0</v>
      </c>
      <c r="I21" s="568">
        <v>0</v>
      </c>
      <c r="J21" s="568">
        <v>0</v>
      </c>
      <c r="K21" s="568">
        <v>0</v>
      </c>
      <c r="L21" s="568">
        <v>0</v>
      </c>
      <c r="M21" s="568">
        <v>0</v>
      </c>
      <c r="N21" s="568">
        <v>0</v>
      </c>
      <c r="O21" s="568">
        <v>0</v>
      </c>
      <c r="P21" s="568">
        <v>0</v>
      </c>
      <c r="Q21" s="568">
        <v>0</v>
      </c>
      <c r="R21" s="568">
        <v>0</v>
      </c>
      <c r="S21" s="568">
        <f>F21+J21+N21+R21</f>
        <v>0</v>
      </c>
    </row>
    <row r="22" spans="1:45" ht="37.5" customHeight="1" x14ac:dyDescent="0.25">
      <c r="A22" s="558">
        <v>13</v>
      </c>
      <c r="B22" s="544" t="s">
        <v>404</v>
      </c>
      <c r="C22" s="568">
        <v>0</v>
      </c>
      <c r="D22" s="568">
        <v>0</v>
      </c>
      <c r="E22" s="568">
        <v>0</v>
      </c>
      <c r="F22" s="568">
        <v>0</v>
      </c>
      <c r="G22" s="568">
        <v>0</v>
      </c>
      <c r="H22" s="568">
        <v>0</v>
      </c>
      <c r="I22" s="568">
        <v>0</v>
      </c>
      <c r="J22" s="568">
        <v>0</v>
      </c>
      <c r="K22" s="568">
        <v>0</v>
      </c>
      <c r="L22" s="568">
        <v>0</v>
      </c>
      <c r="M22" s="568">
        <v>0</v>
      </c>
      <c r="N22" s="568">
        <v>0</v>
      </c>
      <c r="O22" s="568">
        <v>0</v>
      </c>
      <c r="P22" s="568">
        <v>0</v>
      </c>
      <c r="Q22" s="568">
        <v>0</v>
      </c>
      <c r="R22" s="568">
        <v>0</v>
      </c>
      <c r="S22" s="568">
        <f>F22+J22+N22+R22</f>
        <v>0</v>
      </c>
    </row>
    <row r="23" spans="1:45" s="533" customFormat="1" ht="37.5" customHeight="1" x14ac:dyDescent="0.2">
      <c r="A23" s="545"/>
      <c r="B23" s="545" t="s">
        <v>18</v>
      </c>
      <c r="C23" s="570">
        <f>SUM(C10:C22)</f>
        <v>0</v>
      </c>
      <c r="D23" s="570">
        <f t="shared" ref="D23:S23" si="1">SUM(D10:D22)</f>
        <v>0</v>
      </c>
      <c r="E23" s="570"/>
      <c r="F23" s="570">
        <f t="shared" si="1"/>
        <v>0</v>
      </c>
      <c r="G23" s="570">
        <f t="shared" si="1"/>
        <v>0</v>
      </c>
      <c r="H23" s="570">
        <f t="shared" si="1"/>
        <v>0</v>
      </c>
      <c r="I23" s="570">
        <f t="shared" si="1"/>
        <v>0</v>
      </c>
      <c r="J23" s="570">
        <f t="shared" si="1"/>
        <v>0</v>
      </c>
      <c r="K23" s="570">
        <f t="shared" si="1"/>
        <v>0</v>
      </c>
      <c r="L23" s="570">
        <f t="shared" si="1"/>
        <v>0</v>
      </c>
      <c r="M23" s="570">
        <f t="shared" si="1"/>
        <v>0</v>
      </c>
      <c r="N23" s="570">
        <f t="shared" si="1"/>
        <v>0</v>
      </c>
      <c r="O23" s="570">
        <f t="shared" si="1"/>
        <v>0</v>
      </c>
      <c r="P23" s="570">
        <f t="shared" si="1"/>
        <v>0</v>
      </c>
      <c r="Q23" s="570">
        <f t="shared" si="1"/>
        <v>0</v>
      </c>
      <c r="R23" s="570">
        <f t="shared" si="1"/>
        <v>0</v>
      </c>
      <c r="S23" s="570">
        <f t="shared" si="1"/>
        <v>0</v>
      </c>
    </row>
    <row r="24" spans="1:45" s="533" customFormat="1" ht="25.5" customHeight="1" x14ac:dyDescent="0.2">
      <c r="A24" s="549" t="s">
        <v>712</v>
      </c>
      <c r="J24" s="549"/>
      <c r="K24" s="1247"/>
      <c r="L24" s="1247"/>
      <c r="M24" s="1247"/>
      <c r="N24" s="1247"/>
      <c r="O24" s="1247"/>
      <c r="P24" s="1247"/>
      <c r="Q24" s="1247"/>
      <c r="R24" s="1247"/>
      <c r="S24" s="1247"/>
    </row>
    <row r="25" spans="1:45" s="533" customFormat="1" ht="25.5" customHeight="1" x14ac:dyDescent="0.2">
      <c r="J25" s="1247"/>
      <c r="K25" s="1247"/>
      <c r="L25" s="1247"/>
      <c r="M25" s="1247"/>
      <c r="N25" s="1247"/>
      <c r="O25" s="1247"/>
      <c r="P25" s="1247"/>
      <c r="Q25" s="1247"/>
      <c r="R25" s="1247"/>
      <c r="S25" s="1247"/>
    </row>
    <row r="26" spans="1:45" s="533" customFormat="1" ht="12.75" x14ac:dyDescent="0.2">
      <c r="A26" s="549"/>
      <c r="B26" s="549"/>
      <c r="K26" s="549"/>
      <c r="L26" s="549"/>
      <c r="M26" s="549"/>
      <c r="N26" s="549"/>
      <c r="O26" s="549"/>
      <c r="P26" s="549"/>
      <c r="Q26" s="1246"/>
      <c r="R26" s="1246"/>
      <c r="S26" s="1246"/>
    </row>
    <row r="27" spans="1:45" ht="15" x14ac:dyDescent="0.25">
      <c r="A27" s="561" t="s">
        <v>11</v>
      </c>
      <c r="B27" s="562"/>
      <c r="C27" s="562"/>
      <c r="D27" s="562"/>
      <c r="E27" s="562"/>
      <c r="F27" s="562"/>
      <c r="G27" s="561"/>
      <c r="H27" s="561"/>
      <c r="I27" s="562"/>
      <c r="J27" s="562"/>
      <c r="K27" s="561"/>
      <c r="L27" s="561"/>
      <c r="M27" s="561"/>
      <c r="N27" s="561"/>
      <c r="O27" s="561"/>
      <c r="P27" s="561"/>
      <c r="Q27" s="1410" t="s">
        <v>12</v>
      </c>
      <c r="R27" s="1410"/>
      <c r="S27" s="1410"/>
    </row>
    <row r="28" spans="1:45" ht="15" x14ac:dyDescent="0.25">
      <c r="A28" s="562"/>
      <c r="B28" s="562"/>
      <c r="C28" s="562"/>
      <c r="D28" s="562"/>
      <c r="E28" s="562"/>
      <c r="F28" s="562"/>
      <c r="G28" s="562"/>
      <c r="H28" s="562"/>
      <c r="I28" s="562"/>
      <c r="J28" s="562"/>
      <c r="K28" s="562"/>
      <c r="L28" s="562"/>
      <c r="M28" s="562"/>
      <c r="N28" s="562"/>
      <c r="O28" s="562"/>
      <c r="P28" s="563" t="s">
        <v>13</v>
      </c>
      <c r="Q28" s="562"/>
      <c r="R28" s="563"/>
      <c r="S28" s="564"/>
    </row>
    <row r="29" spans="1:45" ht="15" x14ac:dyDescent="0.25">
      <c r="A29" s="562"/>
      <c r="B29" s="562"/>
      <c r="C29" s="562"/>
      <c r="D29" s="562"/>
      <c r="E29" s="562"/>
      <c r="F29" s="562"/>
      <c r="G29" s="562"/>
      <c r="H29" s="562"/>
      <c r="I29" s="562"/>
      <c r="J29" s="562"/>
      <c r="K29" s="562"/>
      <c r="L29" s="562"/>
      <c r="M29" s="562"/>
      <c r="N29" s="562"/>
      <c r="O29" s="562"/>
      <c r="P29" s="563" t="s">
        <v>88</v>
      </c>
      <c r="Q29" s="563"/>
      <c r="R29" s="563"/>
      <c r="S29" s="564"/>
    </row>
    <row r="30" spans="1:45" ht="15" x14ac:dyDescent="0.25">
      <c r="A30" s="561"/>
      <c r="B30" s="561"/>
      <c r="C30" s="562"/>
      <c r="D30" s="562"/>
      <c r="E30" s="562"/>
      <c r="F30" s="562"/>
      <c r="G30" s="562"/>
      <c r="H30" s="562"/>
      <c r="I30" s="562"/>
      <c r="J30" s="562"/>
      <c r="K30" s="561"/>
      <c r="L30" s="561"/>
      <c r="M30" s="561"/>
      <c r="N30" s="561"/>
      <c r="O30" s="561"/>
      <c r="P30" s="561"/>
      <c r="Q30" s="563" t="s">
        <v>85</v>
      </c>
      <c r="R30" s="563"/>
      <c r="S30" s="564"/>
    </row>
  </sheetData>
  <mergeCells count="16">
    <mergeCell ref="A3:S3"/>
    <mergeCell ref="A4:S4"/>
    <mergeCell ref="A2:S2"/>
    <mergeCell ref="R1:S1"/>
    <mergeCell ref="K24:S24"/>
    <mergeCell ref="A5:C5"/>
    <mergeCell ref="A7:A8"/>
    <mergeCell ref="B7:B8"/>
    <mergeCell ref="Q27:S27"/>
    <mergeCell ref="C7:F7"/>
    <mergeCell ref="G7:J7"/>
    <mergeCell ref="K7:N7"/>
    <mergeCell ref="Q26:S26"/>
    <mergeCell ref="J25:S25"/>
    <mergeCell ref="S7:S8"/>
    <mergeCell ref="O7:R7"/>
  </mergeCells>
  <phoneticPr fontId="0" type="noConversion"/>
  <printOptions horizontalCentered="1"/>
  <pageMargins left="0.26" right="0.23" top="0.35" bottom="0" header="0.2" footer="0.31496062992125984"/>
  <pageSetup paperSize="9" scale="61"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C00000"/>
  </sheetPr>
  <dimension ref="A2:AH36"/>
  <sheetViews>
    <sheetView topLeftCell="F1" zoomScale="60" zoomScaleNormal="60" workbookViewId="0">
      <selection activeCell="S21" sqref="S21"/>
    </sheetView>
  </sheetViews>
  <sheetFormatPr defaultColWidth="11.7109375" defaultRowHeight="15" x14ac:dyDescent="0.25"/>
  <cols>
    <col min="1" max="1" width="10.85546875" style="53" customWidth="1"/>
    <col min="2" max="2" width="18.7109375" style="53" customWidth="1"/>
    <col min="3" max="3" width="10.140625" style="53" customWidth="1"/>
    <col min="4" max="4" width="10.5703125" style="53" customWidth="1"/>
    <col min="5" max="5" width="9.28515625" style="53" customWidth="1"/>
    <col min="6" max="6" width="12.5703125" style="53" customWidth="1"/>
    <col min="7" max="7" width="13.42578125" style="53" customWidth="1"/>
    <col min="8" max="9" width="10.28515625" style="53" customWidth="1"/>
    <col min="10" max="10" width="10.140625" style="53" customWidth="1"/>
    <col min="11" max="11" width="9" style="53" customWidth="1"/>
    <col min="12" max="12" width="12.7109375" style="53" customWidth="1"/>
    <col min="13" max="14" width="11.140625" style="53" customWidth="1"/>
    <col min="15" max="15" width="8.5703125" style="53" customWidth="1"/>
    <col min="16" max="17" width="9.140625" style="53" customWidth="1"/>
    <col min="18" max="18" width="12.140625" style="53" bestFit="1" customWidth="1"/>
    <col min="19" max="19" width="12.42578125" style="53" customWidth="1"/>
    <col min="20" max="20" width="8.7109375" style="53" customWidth="1"/>
    <col min="21" max="21" width="9" style="53" customWidth="1"/>
    <col min="22" max="22" width="10.140625" style="53" customWidth="1"/>
    <col min="23" max="23" width="9.85546875" style="53" customWidth="1"/>
    <col min="24" max="24" width="11.85546875" style="53" customWidth="1"/>
    <col min="25" max="25" width="13.42578125" style="53" customWidth="1"/>
    <col min="26" max="26" width="9.42578125" style="53" customWidth="1"/>
    <col min="27" max="27" width="8.7109375" style="53" customWidth="1"/>
    <col min="28" max="28" width="8.5703125" style="53" customWidth="1"/>
    <col min="29" max="29" width="8.85546875" style="53" customWidth="1"/>
    <col min="30" max="30" width="11.85546875" style="53" customWidth="1"/>
    <col min="31" max="31" width="13.28515625" style="53" customWidth="1"/>
    <col min="32" max="32" width="9.42578125" style="53" customWidth="1"/>
    <col min="33" max="16384" width="11.7109375" style="53"/>
  </cols>
  <sheetData>
    <row r="2" spans="1:34" x14ac:dyDescent="0.25">
      <c r="AE2" s="1429" t="s">
        <v>713</v>
      </c>
      <c r="AF2" s="1429"/>
      <c r="AG2" s="1429"/>
      <c r="AH2" s="1429"/>
    </row>
    <row r="3" spans="1:34" s="12" customFormat="1" ht="20.25" x14ac:dyDescent="0.3">
      <c r="A3" s="1114" t="s">
        <v>0</v>
      </c>
      <c r="B3" s="1114"/>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row>
    <row r="4" spans="1:34" s="12" customFormat="1" ht="20.25" x14ac:dyDescent="0.3">
      <c r="A4" s="1114" t="s">
        <v>664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row>
    <row r="5" spans="1:34" s="12" customFormat="1" ht="23.25" customHeight="1" x14ac:dyDescent="0.35">
      <c r="A5" s="1436" t="s">
        <v>714</v>
      </c>
      <c r="B5" s="1436"/>
      <c r="C5" s="1436"/>
      <c r="D5" s="1436"/>
      <c r="E5" s="1436"/>
      <c r="F5" s="1436"/>
      <c r="G5" s="1436"/>
      <c r="H5" s="1436"/>
      <c r="I5" s="1436"/>
      <c r="J5" s="1436"/>
      <c r="K5" s="1436"/>
      <c r="L5" s="1436"/>
      <c r="M5" s="1436"/>
      <c r="N5" s="1436"/>
      <c r="O5" s="1436"/>
      <c r="P5" s="1436"/>
      <c r="Q5" s="1436"/>
      <c r="R5" s="1436"/>
      <c r="S5" s="1436"/>
      <c r="T5" s="1436"/>
      <c r="U5" s="1436"/>
      <c r="V5" s="1436"/>
      <c r="W5" s="1436"/>
      <c r="X5" s="1436"/>
      <c r="Y5" s="1436"/>
      <c r="Z5" s="1436"/>
      <c r="AA5" s="1436"/>
      <c r="AB5" s="1436"/>
      <c r="AC5" s="1436"/>
      <c r="AD5" s="1436"/>
      <c r="AE5" s="1436"/>
      <c r="AF5" s="1436"/>
    </row>
    <row r="6" spans="1:34" ht="22.5" customHeight="1" x14ac:dyDescent="0.25">
      <c r="A6" s="187" t="s">
        <v>463</v>
      </c>
      <c r="B6" s="187"/>
      <c r="C6" s="187"/>
    </row>
    <row r="7" spans="1:34" s="575" customFormat="1" ht="63" customHeight="1" x14ac:dyDescent="0.3">
      <c r="A7" s="1421" t="s">
        <v>2</v>
      </c>
      <c r="B7" s="1422" t="s">
        <v>3</v>
      </c>
      <c r="C7" s="1435" t="s">
        <v>472</v>
      </c>
      <c r="D7" s="1435"/>
      <c r="E7" s="1435"/>
      <c r="F7" s="1435"/>
      <c r="G7" s="1435"/>
      <c r="H7" s="1435"/>
      <c r="I7" s="1430" t="s">
        <v>878</v>
      </c>
      <c r="J7" s="1431"/>
      <c r="K7" s="1431"/>
      <c r="L7" s="1431"/>
      <c r="M7" s="1431"/>
      <c r="N7" s="1432"/>
      <c r="O7" s="1430" t="s">
        <v>589</v>
      </c>
      <c r="P7" s="1431"/>
      <c r="Q7" s="1431"/>
      <c r="R7" s="1431"/>
      <c r="S7" s="1431"/>
      <c r="T7" s="1432"/>
      <c r="U7" s="1435" t="s">
        <v>114</v>
      </c>
      <c r="V7" s="1435"/>
      <c r="W7" s="1435"/>
      <c r="X7" s="1435"/>
      <c r="Y7" s="1435"/>
      <c r="Z7" s="1435"/>
      <c r="AA7" s="1418" t="s">
        <v>259</v>
      </c>
      <c r="AB7" s="1419"/>
      <c r="AC7" s="1419"/>
      <c r="AD7" s="1419"/>
      <c r="AE7" s="1419"/>
      <c r="AF7" s="1420"/>
    </row>
    <row r="8" spans="1:34" s="576" customFormat="1" ht="80.25" customHeight="1" x14ac:dyDescent="0.2">
      <c r="A8" s="1421"/>
      <c r="B8" s="1423"/>
      <c r="C8" s="574" t="s">
        <v>99</v>
      </c>
      <c r="D8" s="574" t="s">
        <v>103</v>
      </c>
      <c r="E8" s="574" t="s">
        <v>104</v>
      </c>
      <c r="F8" s="574" t="s">
        <v>499</v>
      </c>
      <c r="G8" s="574" t="s">
        <v>260</v>
      </c>
      <c r="H8" s="574" t="s">
        <v>18</v>
      </c>
      <c r="I8" s="574" t="s">
        <v>99</v>
      </c>
      <c r="J8" s="574" t="s">
        <v>103</v>
      </c>
      <c r="K8" s="574" t="s">
        <v>104</v>
      </c>
      <c r="L8" s="574" t="s">
        <v>499</v>
      </c>
      <c r="M8" s="574" t="s">
        <v>650</v>
      </c>
      <c r="N8" s="574" t="s">
        <v>18</v>
      </c>
      <c r="O8" s="574" t="s">
        <v>99</v>
      </c>
      <c r="P8" s="574" t="s">
        <v>103</v>
      </c>
      <c r="Q8" s="574" t="s">
        <v>104</v>
      </c>
      <c r="R8" s="574" t="s">
        <v>499</v>
      </c>
      <c r="S8" s="574" t="s">
        <v>260</v>
      </c>
      <c r="T8" s="574" t="s">
        <v>18</v>
      </c>
      <c r="U8" s="574" t="s">
        <v>99</v>
      </c>
      <c r="V8" s="574" t="s">
        <v>103</v>
      </c>
      <c r="W8" s="574" t="s">
        <v>104</v>
      </c>
      <c r="X8" s="574" t="s">
        <v>499</v>
      </c>
      <c r="Y8" s="574" t="s">
        <v>260</v>
      </c>
      <c r="Z8" s="574" t="s">
        <v>18</v>
      </c>
      <c r="AA8" s="574" t="s">
        <v>99</v>
      </c>
      <c r="AB8" s="574" t="s">
        <v>103</v>
      </c>
      <c r="AC8" s="574" t="s">
        <v>104</v>
      </c>
      <c r="AD8" s="574" t="s">
        <v>499</v>
      </c>
      <c r="AE8" s="574" t="s">
        <v>260</v>
      </c>
      <c r="AF8" s="574" t="s">
        <v>18</v>
      </c>
    </row>
    <row r="9" spans="1:34" s="91" customFormat="1" ht="28.5" customHeight="1" x14ac:dyDescent="0.25">
      <c r="A9" s="198">
        <v>1</v>
      </c>
      <c r="B9" s="303">
        <v>2</v>
      </c>
      <c r="C9" s="303">
        <v>3</v>
      </c>
      <c r="D9" s="265">
        <v>4</v>
      </c>
      <c r="E9" s="265">
        <v>5</v>
      </c>
      <c r="F9" s="265">
        <v>6</v>
      </c>
      <c r="G9" s="265">
        <v>7</v>
      </c>
      <c r="H9" s="303">
        <v>8</v>
      </c>
      <c r="I9" s="265">
        <v>9</v>
      </c>
      <c r="J9" s="265">
        <v>10</v>
      </c>
      <c r="K9" s="265">
        <v>11</v>
      </c>
      <c r="L9" s="265">
        <v>12</v>
      </c>
      <c r="M9" s="303">
        <v>13</v>
      </c>
      <c r="N9" s="265">
        <v>14</v>
      </c>
      <c r="O9" s="265">
        <v>15</v>
      </c>
      <c r="P9" s="265">
        <v>16</v>
      </c>
      <c r="Q9" s="265">
        <v>17</v>
      </c>
      <c r="R9" s="303">
        <v>18</v>
      </c>
      <c r="S9" s="265">
        <v>19</v>
      </c>
      <c r="T9" s="265">
        <v>20</v>
      </c>
      <c r="U9" s="265">
        <v>21</v>
      </c>
      <c r="V9" s="265">
        <v>22</v>
      </c>
      <c r="W9" s="303">
        <v>23</v>
      </c>
      <c r="X9" s="265">
        <v>24</v>
      </c>
      <c r="Y9" s="265">
        <v>25</v>
      </c>
      <c r="Z9" s="265">
        <v>26</v>
      </c>
      <c r="AA9" s="265">
        <v>27</v>
      </c>
      <c r="AB9" s="303">
        <v>28</v>
      </c>
      <c r="AC9" s="265">
        <v>29</v>
      </c>
      <c r="AD9" s="265">
        <v>30</v>
      </c>
      <c r="AE9" s="265">
        <v>31</v>
      </c>
      <c r="AF9" s="265">
        <v>32</v>
      </c>
    </row>
    <row r="10" spans="1:34" s="594" customFormat="1" ht="39.950000000000003" customHeight="1" x14ac:dyDescent="0.25">
      <c r="A10" s="587">
        <v>1</v>
      </c>
      <c r="B10" s="588" t="s">
        <v>392</v>
      </c>
      <c r="C10" s="589">
        <v>1801</v>
      </c>
      <c r="D10" s="589">
        <v>57</v>
      </c>
      <c r="E10" s="589">
        <v>6</v>
      </c>
      <c r="F10" s="589">
        <v>0</v>
      </c>
      <c r="G10" s="589">
        <v>0</v>
      </c>
      <c r="H10" s="590">
        <f>C10+D10+E10+F10+G10</f>
        <v>1864</v>
      </c>
      <c r="I10" s="589">
        <v>1914</v>
      </c>
      <c r="J10" s="589">
        <v>54</v>
      </c>
      <c r="K10" s="589">
        <v>6</v>
      </c>
      <c r="L10" s="589">
        <v>0</v>
      </c>
      <c r="M10" s="589">
        <v>0</v>
      </c>
      <c r="N10" s="590">
        <f>I10+J10+K10+L10+M10</f>
        <v>1974</v>
      </c>
      <c r="O10" s="591">
        <v>0</v>
      </c>
      <c r="P10" s="591">
        <v>1</v>
      </c>
      <c r="Q10" s="591">
        <v>0</v>
      </c>
      <c r="R10" s="591">
        <v>0</v>
      </c>
      <c r="S10" s="591">
        <v>0</v>
      </c>
      <c r="T10" s="592">
        <f>O10+P10+Q10+R10+S10</f>
        <v>1</v>
      </c>
      <c r="U10" s="591">
        <v>0</v>
      </c>
      <c r="V10" s="591">
        <v>0</v>
      </c>
      <c r="W10" s="591">
        <v>0</v>
      </c>
      <c r="X10" s="591">
        <v>0</v>
      </c>
      <c r="Y10" s="591">
        <v>0</v>
      </c>
      <c r="Z10" s="592">
        <f>U10+V10+W10+X10+Y10</f>
        <v>0</v>
      </c>
      <c r="AA10" s="593">
        <v>205</v>
      </c>
      <c r="AB10" s="593">
        <v>0</v>
      </c>
      <c r="AC10" s="593">
        <v>0</v>
      </c>
      <c r="AD10" s="593">
        <v>0</v>
      </c>
      <c r="AE10" s="593">
        <v>0</v>
      </c>
      <c r="AF10" s="593">
        <f>AA10+AB10+AC10+AD10+AE10</f>
        <v>205</v>
      </c>
    </row>
    <row r="11" spans="1:34" s="594" customFormat="1" ht="39.950000000000003" customHeight="1" x14ac:dyDescent="0.25">
      <c r="A11" s="587">
        <v>2</v>
      </c>
      <c r="B11" s="588" t="s">
        <v>393</v>
      </c>
      <c r="C11" s="589">
        <v>799</v>
      </c>
      <c r="D11" s="589">
        <v>20</v>
      </c>
      <c r="E11" s="589">
        <v>0</v>
      </c>
      <c r="F11" s="589">
        <v>0</v>
      </c>
      <c r="G11" s="589">
        <v>0</v>
      </c>
      <c r="H11" s="590">
        <f t="shared" ref="H11:H22" si="0">C11+D11+E11+F11+G11</f>
        <v>819</v>
      </c>
      <c r="I11" s="589">
        <v>815</v>
      </c>
      <c r="J11" s="589">
        <v>25</v>
      </c>
      <c r="K11" s="589">
        <v>0</v>
      </c>
      <c r="L11" s="589">
        <v>0</v>
      </c>
      <c r="M11" s="589">
        <v>0</v>
      </c>
      <c r="N11" s="590">
        <f t="shared" ref="N11:N22" si="1">I11+J11+K11+L11+M11</f>
        <v>840</v>
      </c>
      <c r="O11" s="591">
        <v>0</v>
      </c>
      <c r="P11" s="591">
        <v>1</v>
      </c>
      <c r="Q11" s="591">
        <v>0</v>
      </c>
      <c r="R11" s="591">
        <v>0</v>
      </c>
      <c r="S11" s="591">
        <v>0</v>
      </c>
      <c r="T11" s="592">
        <f t="shared" ref="T11:T22" si="2">O11+P11+Q11+R11+S11</f>
        <v>1</v>
      </c>
      <c r="U11" s="591">
        <v>0</v>
      </c>
      <c r="V11" s="591">
        <v>0</v>
      </c>
      <c r="W11" s="591">
        <v>0</v>
      </c>
      <c r="X11" s="591">
        <v>0</v>
      </c>
      <c r="Y11" s="591">
        <v>0</v>
      </c>
      <c r="Z11" s="592">
        <f t="shared" ref="Z11:Z22" si="3">U11+V11+W11+X11+Y11</f>
        <v>0</v>
      </c>
      <c r="AA11" s="593">
        <v>102</v>
      </c>
      <c r="AB11" s="593">
        <v>0</v>
      </c>
      <c r="AC11" s="593">
        <v>0</v>
      </c>
      <c r="AD11" s="593">
        <v>0</v>
      </c>
      <c r="AE11" s="593">
        <v>0</v>
      </c>
      <c r="AF11" s="593">
        <f t="shared" ref="AF11:AF22" si="4">AA11+AB11+AC11+AD11+AE11</f>
        <v>102</v>
      </c>
    </row>
    <row r="12" spans="1:34" s="594" customFormat="1" ht="39.950000000000003" customHeight="1" x14ac:dyDescent="0.25">
      <c r="A12" s="587">
        <v>3</v>
      </c>
      <c r="B12" s="588" t="s">
        <v>394</v>
      </c>
      <c r="C12" s="589">
        <v>1383</v>
      </c>
      <c r="D12" s="589">
        <v>23</v>
      </c>
      <c r="E12" s="589">
        <v>0</v>
      </c>
      <c r="F12" s="589">
        <v>0</v>
      </c>
      <c r="G12" s="589">
        <v>0</v>
      </c>
      <c r="H12" s="590">
        <f t="shared" si="0"/>
        <v>1406</v>
      </c>
      <c r="I12" s="589">
        <v>1451</v>
      </c>
      <c r="J12" s="589">
        <v>23</v>
      </c>
      <c r="K12" s="589">
        <v>0</v>
      </c>
      <c r="L12" s="589">
        <v>0</v>
      </c>
      <c r="M12" s="589">
        <v>0</v>
      </c>
      <c r="N12" s="590">
        <f t="shared" si="1"/>
        <v>1474</v>
      </c>
      <c r="O12" s="591">
        <v>0</v>
      </c>
      <c r="P12" s="591">
        <v>6</v>
      </c>
      <c r="Q12" s="591">
        <v>0</v>
      </c>
      <c r="R12" s="591">
        <v>0</v>
      </c>
      <c r="S12" s="591">
        <v>0</v>
      </c>
      <c r="T12" s="592">
        <f t="shared" si="2"/>
        <v>6</v>
      </c>
      <c r="U12" s="591">
        <v>0</v>
      </c>
      <c r="V12" s="591">
        <v>0</v>
      </c>
      <c r="W12" s="591">
        <v>0</v>
      </c>
      <c r="X12" s="591">
        <v>0</v>
      </c>
      <c r="Y12" s="591">
        <v>0</v>
      </c>
      <c r="Z12" s="592">
        <f t="shared" si="3"/>
        <v>0</v>
      </c>
      <c r="AA12" s="593">
        <v>164</v>
      </c>
      <c r="AB12" s="593">
        <v>0</v>
      </c>
      <c r="AC12" s="593">
        <v>0</v>
      </c>
      <c r="AD12" s="593">
        <v>0</v>
      </c>
      <c r="AE12" s="593">
        <v>0</v>
      </c>
      <c r="AF12" s="593">
        <f t="shared" si="4"/>
        <v>164</v>
      </c>
    </row>
    <row r="13" spans="1:34" s="594" customFormat="1" ht="39.950000000000003" customHeight="1" x14ac:dyDescent="0.25">
      <c r="A13" s="587">
        <v>4</v>
      </c>
      <c r="B13" s="588" t="s">
        <v>395</v>
      </c>
      <c r="C13" s="589">
        <v>706</v>
      </c>
      <c r="D13" s="589">
        <v>8</v>
      </c>
      <c r="E13" s="589">
        <v>0</v>
      </c>
      <c r="F13" s="589">
        <v>0</v>
      </c>
      <c r="G13" s="589">
        <v>0</v>
      </c>
      <c r="H13" s="590">
        <f t="shared" si="0"/>
        <v>714</v>
      </c>
      <c r="I13" s="589">
        <v>720</v>
      </c>
      <c r="J13" s="589">
        <v>7</v>
      </c>
      <c r="K13" s="589">
        <v>0</v>
      </c>
      <c r="L13" s="589">
        <v>0</v>
      </c>
      <c r="M13" s="589">
        <v>0</v>
      </c>
      <c r="N13" s="590">
        <f t="shared" si="1"/>
        <v>727</v>
      </c>
      <c r="O13" s="591">
        <v>0</v>
      </c>
      <c r="P13" s="591">
        <v>0</v>
      </c>
      <c r="Q13" s="591">
        <v>0</v>
      </c>
      <c r="R13" s="591">
        <v>0</v>
      </c>
      <c r="S13" s="591">
        <v>0</v>
      </c>
      <c r="T13" s="592">
        <f t="shared" si="2"/>
        <v>0</v>
      </c>
      <c r="U13" s="591">
        <v>0</v>
      </c>
      <c r="V13" s="591">
        <v>0</v>
      </c>
      <c r="W13" s="591">
        <v>0</v>
      </c>
      <c r="X13" s="591">
        <v>0</v>
      </c>
      <c r="Y13" s="591">
        <v>0</v>
      </c>
      <c r="Z13" s="592">
        <f t="shared" si="3"/>
        <v>0</v>
      </c>
      <c r="AA13" s="593">
        <v>0</v>
      </c>
      <c r="AB13" s="593">
        <v>0</v>
      </c>
      <c r="AC13" s="593">
        <v>0</v>
      </c>
      <c r="AD13" s="593">
        <v>0</v>
      </c>
      <c r="AE13" s="593">
        <v>0</v>
      </c>
      <c r="AF13" s="593">
        <f t="shared" si="4"/>
        <v>0</v>
      </c>
    </row>
    <row r="14" spans="1:34" s="594" customFormat="1" ht="39.950000000000003" customHeight="1" x14ac:dyDescent="0.25">
      <c r="A14" s="587">
        <v>5</v>
      </c>
      <c r="B14" s="588" t="s">
        <v>396</v>
      </c>
      <c r="C14" s="589">
        <v>1316</v>
      </c>
      <c r="D14" s="589">
        <v>101</v>
      </c>
      <c r="E14" s="589">
        <v>9</v>
      </c>
      <c r="F14" s="589">
        <v>2</v>
      </c>
      <c r="G14" s="589">
        <v>14</v>
      </c>
      <c r="H14" s="590">
        <f t="shared" si="0"/>
        <v>1442</v>
      </c>
      <c r="I14" s="589">
        <v>1292</v>
      </c>
      <c r="J14" s="589">
        <v>109</v>
      </c>
      <c r="K14" s="589">
        <v>10</v>
      </c>
      <c r="L14" s="589">
        <v>4</v>
      </c>
      <c r="M14" s="589">
        <v>16</v>
      </c>
      <c r="N14" s="590">
        <f t="shared" si="1"/>
        <v>1431</v>
      </c>
      <c r="O14" s="591">
        <v>0</v>
      </c>
      <c r="P14" s="591">
        <v>1</v>
      </c>
      <c r="Q14" s="591">
        <v>0</v>
      </c>
      <c r="R14" s="591">
        <v>0</v>
      </c>
      <c r="S14" s="591">
        <v>0</v>
      </c>
      <c r="T14" s="592">
        <f t="shared" si="2"/>
        <v>1</v>
      </c>
      <c r="U14" s="591">
        <v>0</v>
      </c>
      <c r="V14" s="591">
        <v>0</v>
      </c>
      <c r="W14" s="591">
        <v>0</v>
      </c>
      <c r="X14" s="591">
        <v>0</v>
      </c>
      <c r="Y14" s="591">
        <v>0</v>
      </c>
      <c r="Z14" s="592">
        <f t="shared" si="3"/>
        <v>0</v>
      </c>
      <c r="AA14" s="593">
        <v>254</v>
      </c>
      <c r="AB14" s="593">
        <v>11</v>
      </c>
      <c r="AC14" s="593">
        <v>0</v>
      </c>
      <c r="AD14" s="593">
        <v>0</v>
      </c>
      <c r="AE14" s="593">
        <v>0</v>
      </c>
      <c r="AF14" s="593">
        <f t="shared" si="4"/>
        <v>265</v>
      </c>
    </row>
    <row r="15" spans="1:34" s="594" customFormat="1" ht="39.950000000000003" customHeight="1" x14ac:dyDescent="0.25">
      <c r="A15" s="587">
        <v>6</v>
      </c>
      <c r="B15" s="588" t="s">
        <v>397</v>
      </c>
      <c r="C15" s="589">
        <v>912</v>
      </c>
      <c r="D15" s="589">
        <v>75</v>
      </c>
      <c r="E15" s="589">
        <v>0</v>
      </c>
      <c r="F15" s="589">
        <v>19</v>
      </c>
      <c r="G15" s="589">
        <v>80</v>
      </c>
      <c r="H15" s="590">
        <f t="shared" si="0"/>
        <v>1086</v>
      </c>
      <c r="I15" s="589">
        <f>907-41</f>
        <v>866</v>
      </c>
      <c r="J15" s="589">
        <v>76</v>
      </c>
      <c r="K15" s="589">
        <v>0</v>
      </c>
      <c r="L15" s="589">
        <v>0</v>
      </c>
      <c r="M15" s="589">
        <f>36+47</f>
        <v>83</v>
      </c>
      <c r="N15" s="590">
        <f t="shared" si="1"/>
        <v>1025</v>
      </c>
      <c r="O15" s="591">
        <v>0</v>
      </c>
      <c r="P15" s="591">
        <v>9</v>
      </c>
      <c r="Q15" s="591">
        <v>0</v>
      </c>
      <c r="R15" s="591">
        <v>0</v>
      </c>
      <c r="S15" s="591">
        <v>0</v>
      </c>
      <c r="T15" s="592">
        <f t="shared" si="2"/>
        <v>9</v>
      </c>
      <c r="U15" s="591">
        <v>0</v>
      </c>
      <c r="V15" s="591">
        <v>0</v>
      </c>
      <c r="W15" s="591">
        <v>0</v>
      </c>
      <c r="X15" s="591">
        <v>0</v>
      </c>
      <c r="Y15" s="591">
        <v>0</v>
      </c>
      <c r="Z15" s="592">
        <f t="shared" si="3"/>
        <v>0</v>
      </c>
      <c r="AA15" s="593">
        <v>292</v>
      </c>
      <c r="AB15" s="593">
        <v>0</v>
      </c>
      <c r="AC15" s="593">
        <v>0</v>
      </c>
      <c r="AD15" s="593">
        <v>0</v>
      </c>
      <c r="AE15" s="593">
        <v>0</v>
      </c>
      <c r="AF15" s="593">
        <f t="shared" si="4"/>
        <v>292</v>
      </c>
    </row>
    <row r="16" spans="1:34" s="594" customFormat="1" ht="39.950000000000003" customHeight="1" x14ac:dyDescent="0.25">
      <c r="A16" s="587">
        <v>7</v>
      </c>
      <c r="B16" s="588" t="s">
        <v>398</v>
      </c>
      <c r="C16" s="589">
        <v>1382</v>
      </c>
      <c r="D16" s="589">
        <v>38</v>
      </c>
      <c r="E16" s="589">
        <v>2</v>
      </c>
      <c r="F16" s="589">
        <v>0</v>
      </c>
      <c r="G16" s="589">
        <v>5</v>
      </c>
      <c r="H16" s="590">
        <f t="shared" si="0"/>
        <v>1427</v>
      </c>
      <c r="I16" s="589">
        <f>1402-5</f>
        <v>1397</v>
      </c>
      <c r="J16" s="589">
        <v>38</v>
      </c>
      <c r="K16" s="589">
        <v>2</v>
      </c>
      <c r="L16" s="589">
        <v>0</v>
      </c>
      <c r="M16" s="589">
        <v>5</v>
      </c>
      <c r="N16" s="590">
        <f t="shared" si="1"/>
        <v>1442</v>
      </c>
      <c r="O16" s="591">
        <v>0</v>
      </c>
      <c r="P16" s="591">
        <v>0</v>
      </c>
      <c r="Q16" s="591">
        <v>0</v>
      </c>
      <c r="R16" s="591">
        <v>0</v>
      </c>
      <c r="S16" s="591">
        <v>0</v>
      </c>
      <c r="T16" s="592">
        <f t="shared" si="2"/>
        <v>0</v>
      </c>
      <c r="U16" s="591">
        <v>0</v>
      </c>
      <c r="V16" s="591">
        <v>0</v>
      </c>
      <c r="W16" s="591">
        <v>0</v>
      </c>
      <c r="X16" s="591">
        <v>0</v>
      </c>
      <c r="Y16" s="591">
        <v>0</v>
      </c>
      <c r="Z16" s="592">
        <f t="shared" si="3"/>
        <v>0</v>
      </c>
      <c r="AA16" s="593">
        <v>209</v>
      </c>
      <c r="AB16" s="593">
        <v>0</v>
      </c>
      <c r="AC16" s="593">
        <v>0</v>
      </c>
      <c r="AD16" s="593">
        <v>0</v>
      </c>
      <c r="AE16" s="593">
        <v>0</v>
      </c>
      <c r="AF16" s="593">
        <f t="shared" si="4"/>
        <v>209</v>
      </c>
    </row>
    <row r="17" spans="1:32" s="594" customFormat="1" ht="39.950000000000003" customHeight="1" x14ac:dyDescent="0.25">
      <c r="A17" s="587">
        <v>8</v>
      </c>
      <c r="B17" s="588" t="s">
        <v>399</v>
      </c>
      <c r="C17" s="589">
        <v>2127</v>
      </c>
      <c r="D17" s="589">
        <v>95</v>
      </c>
      <c r="E17" s="589">
        <v>2</v>
      </c>
      <c r="F17" s="589">
        <v>0</v>
      </c>
      <c r="G17" s="589">
        <v>0</v>
      </c>
      <c r="H17" s="590">
        <f t="shared" si="0"/>
        <v>2224</v>
      </c>
      <c r="I17" s="589">
        <v>2277</v>
      </c>
      <c r="J17" s="589">
        <v>101</v>
      </c>
      <c r="K17" s="589">
        <v>2</v>
      </c>
      <c r="L17" s="589">
        <v>0</v>
      </c>
      <c r="M17" s="589">
        <v>0</v>
      </c>
      <c r="N17" s="590">
        <f t="shared" si="1"/>
        <v>2380</v>
      </c>
      <c r="O17" s="591">
        <v>0</v>
      </c>
      <c r="P17" s="591">
        <v>3</v>
      </c>
      <c r="Q17" s="591">
        <v>0</v>
      </c>
      <c r="R17" s="591">
        <v>0</v>
      </c>
      <c r="S17" s="591">
        <v>0</v>
      </c>
      <c r="T17" s="592">
        <f t="shared" si="2"/>
        <v>3</v>
      </c>
      <c r="U17" s="591">
        <v>0</v>
      </c>
      <c r="V17" s="591">
        <v>0</v>
      </c>
      <c r="W17" s="591">
        <v>0</v>
      </c>
      <c r="X17" s="591">
        <v>0</v>
      </c>
      <c r="Y17" s="591">
        <v>0</v>
      </c>
      <c r="Z17" s="592">
        <f t="shared" si="3"/>
        <v>0</v>
      </c>
      <c r="AA17" s="593">
        <v>303</v>
      </c>
      <c r="AB17" s="593">
        <v>0</v>
      </c>
      <c r="AC17" s="593">
        <v>0</v>
      </c>
      <c r="AD17" s="593">
        <v>0</v>
      </c>
      <c r="AE17" s="593">
        <v>0</v>
      </c>
      <c r="AF17" s="593">
        <f t="shared" si="4"/>
        <v>303</v>
      </c>
    </row>
    <row r="18" spans="1:32" s="594" customFormat="1" ht="39.950000000000003" customHeight="1" x14ac:dyDescent="0.25">
      <c r="A18" s="587">
        <v>9</v>
      </c>
      <c r="B18" s="588" t="s">
        <v>400</v>
      </c>
      <c r="C18" s="589">
        <v>1544</v>
      </c>
      <c r="D18" s="589">
        <v>15</v>
      </c>
      <c r="E18" s="589">
        <v>0</v>
      </c>
      <c r="F18" s="589">
        <v>0</v>
      </c>
      <c r="G18" s="589">
        <v>0</v>
      </c>
      <c r="H18" s="590">
        <f t="shared" si="0"/>
        <v>1559</v>
      </c>
      <c r="I18" s="589">
        <v>1667</v>
      </c>
      <c r="J18" s="589">
        <v>20</v>
      </c>
      <c r="K18" s="589">
        <v>0</v>
      </c>
      <c r="L18" s="589">
        <v>0</v>
      </c>
      <c r="M18" s="589">
        <v>0</v>
      </c>
      <c r="N18" s="590">
        <f t="shared" si="1"/>
        <v>1687</v>
      </c>
      <c r="O18" s="591">
        <v>0</v>
      </c>
      <c r="P18" s="591">
        <v>0</v>
      </c>
      <c r="Q18" s="591">
        <v>0</v>
      </c>
      <c r="R18" s="591">
        <v>0</v>
      </c>
      <c r="S18" s="591">
        <v>0</v>
      </c>
      <c r="T18" s="592">
        <f t="shared" si="2"/>
        <v>0</v>
      </c>
      <c r="U18" s="591">
        <v>0</v>
      </c>
      <c r="V18" s="591">
        <v>0</v>
      </c>
      <c r="W18" s="591">
        <v>0</v>
      </c>
      <c r="X18" s="591">
        <v>0</v>
      </c>
      <c r="Y18" s="591">
        <v>0</v>
      </c>
      <c r="Z18" s="592">
        <f t="shared" si="3"/>
        <v>0</v>
      </c>
      <c r="AA18" s="593">
        <v>180</v>
      </c>
      <c r="AB18" s="593">
        <v>0</v>
      </c>
      <c r="AC18" s="593">
        <v>0</v>
      </c>
      <c r="AD18" s="593">
        <v>0</v>
      </c>
      <c r="AE18" s="593">
        <v>0</v>
      </c>
      <c r="AF18" s="593">
        <f t="shared" si="4"/>
        <v>180</v>
      </c>
    </row>
    <row r="19" spans="1:32" s="594" customFormat="1" ht="39.950000000000003" customHeight="1" x14ac:dyDescent="0.25">
      <c r="A19" s="587">
        <v>10</v>
      </c>
      <c r="B19" s="588" t="s">
        <v>401</v>
      </c>
      <c r="C19" s="589">
        <v>781</v>
      </c>
      <c r="D19" s="589">
        <v>33</v>
      </c>
      <c r="E19" s="589">
        <v>0</v>
      </c>
      <c r="F19" s="589">
        <v>0</v>
      </c>
      <c r="G19" s="589">
        <v>0</v>
      </c>
      <c r="H19" s="590">
        <f t="shared" si="0"/>
        <v>814</v>
      </c>
      <c r="I19" s="589">
        <v>791</v>
      </c>
      <c r="J19" s="589">
        <v>43</v>
      </c>
      <c r="K19" s="589">
        <v>0</v>
      </c>
      <c r="L19" s="589">
        <v>0</v>
      </c>
      <c r="M19" s="589">
        <v>0</v>
      </c>
      <c r="N19" s="590">
        <f t="shared" si="1"/>
        <v>834</v>
      </c>
      <c r="O19" s="591">
        <v>0</v>
      </c>
      <c r="P19" s="591">
        <v>15</v>
      </c>
      <c r="Q19" s="591">
        <v>0</v>
      </c>
      <c r="R19" s="591">
        <v>0</v>
      </c>
      <c r="S19" s="591">
        <v>0</v>
      </c>
      <c r="T19" s="592">
        <f t="shared" si="2"/>
        <v>15</v>
      </c>
      <c r="U19" s="591">
        <v>0</v>
      </c>
      <c r="V19" s="591">
        <v>0</v>
      </c>
      <c r="W19" s="591">
        <f>E19-(K19+Q19)</f>
        <v>0</v>
      </c>
      <c r="X19" s="591">
        <v>0</v>
      </c>
      <c r="Y19" s="591">
        <v>0</v>
      </c>
      <c r="Z19" s="592">
        <f t="shared" si="3"/>
        <v>0</v>
      </c>
      <c r="AA19" s="593">
        <v>96</v>
      </c>
      <c r="AB19" s="593">
        <v>8</v>
      </c>
      <c r="AC19" s="593">
        <v>0</v>
      </c>
      <c r="AD19" s="593">
        <v>0</v>
      </c>
      <c r="AE19" s="593">
        <v>0</v>
      </c>
      <c r="AF19" s="593">
        <f t="shared" si="4"/>
        <v>104</v>
      </c>
    </row>
    <row r="20" spans="1:32" s="536" customFormat="1" ht="39.950000000000003" customHeight="1" x14ac:dyDescent="0.25">
      <c r="A20" s="587">
        <v>11</v>
      </c>
      <c r="B20" s="588" t="s">
        <v>402</v>
      </c>
      <c r="C20" s="589">
        <v>1948</v>
      </c>
      <c r="D20" s="589">
        <v>40</v>
      </c>
      <c r="E20" s="589">
        <v>0</v>
      </c>
      <c r="F20" s="589">
        <v>0</v>
      </c>
      <c r="G20" s="589">
        <v>0</v>
      </c>
      <c r="H20" s="590">
        <f t="shared" si="0"/>
        <v>1988</v>
      </c>
      <c r="I20" s="589">
        <v>2059</v>
      </c>
      <c r="J20" s="589">
        <v>52</v>
      </c>
      <c r="K20" s="589">
        <v>0</v>
      </c>
      <c r="L20" s="589">
        <v>0</v>
      </c>
      <c r="M20" s="589">
        <v>0</v>
      </c>
      <c r="N20" s="590">
        <f t="shared" si="1"/>
        <v>2111</v>
      </c>
      <c r="O20" s="595">
        <v>0</v>
      </c>
      <c r="P20" s="595">
        <v>8</v>
      </c>
      <c r="Q20" s="595">
        <v>0</v>
      </c>
      <c r="R20" s="595">
        <v>0</v>
      </c>
      <c r="S20" s="595">
        <v>0</v>
      </c>
      <c r="T20" s="592">
        <f t="shared" si="2"/>
        <v>8</v>
      </c>
      <c r="U20" s="591">
        <v>0</v>
      </c>
      <c r="V20" s="591">
        <v>0</v>
      </c>
      <c r="W20" s="591">
        <f>E20-(K20+Q20)</f>
        <v>0</v>
      </c>
      <c r="X20" s="591">
        <f>F20-(L20+R20)</f>
        <v>0</v>
      </c>
      <c r="Y20" s="591">
        <v>0</v>
      </c>
      <c r="Z20" s="592">
        <f t="shared" si="3"/>
        <v>0</v>
      </c>
      <c r="AA20" s="593">
        <v>242</v>
      </c>
      <c r="AB20" s="596">
        <v>0</v>
      </c>
      <c r="AC20" s="596">
        <v>0</v>
      </c>
      <c r="AD20" s="596">
        <v>0</v>
      </c>
      <c r="AE20" s="596">
        <v>0</v>
      </c>
      <c r="AF20" s="593">
        <f t="shared" si="4"/>
        <v>242</v>
      </c>
    </row>
    <row r="21" spans="1:32" s="536" customFormat="1" ht="39.950000000000003" customHeight="1" x14ac:dyDescent="0.25">
      <c r="A21" s="587">
        <v>12</v>
      </c>
      <c r="B21" s="588" t="s">
        <v>403</v>
      </c>
      <c r="C21" s="589">
        <v>1112</v>
      </c>
      <c r="D21" s="589">
        <v>84</v>
      </c>
      <c r="E21" s="589">
        <v>0</v>
      </c>
      <c r="F21" s="589">
        <v>1</v>
      </c>
      <c r="G21" s="589">
        <v>58</v>
      </c>
      <c r="H21" s="590">
        <f t="shared" si="0"/>
        <v>1255</v>
      </c>
      <c r="I21" s="589">
        <f>1066-9</f>
        <v>1057</v>
      </c>
      <c r="J21" s="589">
        <v>69</v>
      </c>
      <c r="K21" s="589">
        <v>0</v>
      </c>
      <c r="L21" s="589">
        <v>1</v>
      </c>
      <c r="M21" s="589">
        <f>58+9</f>
        <v>67</v>
      </c>
      <c r="N21" s="590">
        <f t="shared" si="1"/>
        <v>1194</v>
      </c>
      <c r="O21" s="595">
        <v>0</v>
      </c>
      <c r="P21" s="595">
        <v>0</v>
      </c>
      <c r="Q21" s="595">
        <v>0</v>
      </c>
      <c r="R21" s="595">
        <v>0</v>
      </c>
      <c r="S21" s="595">
        <v>2</v>
      </c>
      <c r="T21" s="592">
        <f t="shared" si="2"/>
        <v>2</v>
      </c>
      <c r="U21" s="591">
        <v>0</v>
      </c>
      <c r="V21" s="591">
        <v>0</v>
      </c>
      <c r="W21" s="591">
        <f>E21-(K21+Q21)</f>
        <v>0</v>
      </c>
      <c r="X21" s="591">
        <v>0</v>
      </c>
      <c r="Y21" s="591">
        <v>0</v>
      </c>
      <c r="Z21" s="592">
        <f t="shared" si="3"/>
        <v>0</v>
      </c>
      <c r="AA21" s="593">
        <v>195</v>
      </c>
      <c r="AB21" s="596">
        <v>0</v>
      </c>
      <c r="AC21" s="596">
        <v>0</v>
      </c>
      <c r="AD21" s="596">
        <v>0</v>
      </c>
      <c r="AE21" s="596">
        <v>0</v>
      </c>
      <c r="AF21" s="593">
        <f t="shared" si="4"/>
        <v>195</v>
      </c>
    </row>
    <row r="22" spans="1:32" s="536" customFormat="1" ht="39.950000000000003" customHeight="1" x14ac:dyDescent="0.25">
      <c r="A22" s="587">
        <v>13</v>
      </c>
      <c r="B22" s="588" t="s">
        <v>404</v>
      </c>
      <c r="C22" s="589">
        <v>1062</v>
      </c>
      <c r="D22" s="589">
        <v>4</v>
      </c>
      <c r="E22" s="589">
        <v>0</v>
      </c>
      <c r="F22" s="589">
        <v>0</v>
      </c>
      <c r="G22" s="589">
        <v>0</v>
      </c>
      <c r="H22" s="590">
        <f t="shared" si="0"/>
        <v>1066</v>
      </c>
      <c r="I22" s="589">
        <v>1076</v>
      </c>
      <c r="J22" s="589">
        <v>4</v>
      </c>
      <c r="K22" s="589">
        <v>0</v>
      </c>
      <c r="L22" s="589">
        <v>0</v>
      </c>
      <c r="M22" s="589">
        <v>0</v>
      </c>
      <c r="N22" s="590">
        <f t="shared" si="1"/>
        <v>1080</v>
      </c>
      <c r="O22" s="595">
        <v>0</v>
      </c>
      <c r="P22" s="595">
        <v>1</v>
      </c>
      <c r="Q22" s="595">
        <v>0</v>
      </c>
      <c r="R22" s="595">
        <v>0</v>
      </c>
      <c r="S22" s="595">
        <v>0</v>
      </c>
      <c r="T22" s="592">
        <f t="shared" si="2"/>
        <v>1</v>
      </c>
      <c r="U22" s="591">
        <v>0</v>
      </c>
      <c r="V22" s="591">
        <v>0</v>
      </c>
      <c r="W22" s="591">
        <f>E22-(K22+Q22)</f>
        <v>0</v>
      </c>
      <c r="X22" s="591">
        <f>F22-(L22+R22)</f>
        <v>0</v>
      </c>
      <c r="Y22" s="591">
        <v>0</v>
      </c>
      <c r="Z22" s="592">
        <f t="shared" si="3"/>
        <v>0</v>
      </c>
      <c r="AA22" s="593">
        <v>149</v>
      </c>
      <c r="AB22" s="596">
        <v>0</v>
      </c>
      <c r="AC22" s="596">
        <v>0</v>
      </c>
      <c r="AD22" s="596">
        <v>0</v>
      </c>
      <c r="AE22" s="596">
        <v>0</v>
      </c>
      <c r="AF22" s="593">
        <f t="shared" si="4"/>
        <v>149</v>
      </c>
    </row>
    <row r="23" spans="1:32" s="598" customFormat="1" ht="38.25" customHeight="1" x14ac:dyDescent="0.25">
      <c r="A23" s="587" t="s">
        <v>18</v>
      </c>
      <c r="B23" s="587"/>
      <c r="C23" s="597">
        <f>SUM(C10:C22)</f>
        <v>16873</v>
      </c>
      <c r="D23" s="597">
        <f t="shared" ref="D23:AB23" si="5">SUM(D10:D22)</f>
        <v>593</v>
      </c>
      <c r="E23" s="597">
        <f t="shared" si="5"/>
        <v>19</v>
      </c>
      <c r="F23" s="597">
        <f t="shared" si="5"/>
        <v>22</v>
      </c>
      <c r="G23" s="597">
        <f t="shared" si="5"/>
        <v>157</v>
      </c>
      <c r="H23" s="597">
        <f t="shared" si="5"/>
        <v>17664</v>
      </c>
      <c r="I23" s="597">
        <f t="shared" si="5"/>
        <v>17382</v>
      </c>
      <c r="J23" s="597">
        <f t="shared" si="5"/>
        <v>621</v>
      </c>
      <c r="K23" s="597">
        <f t="shared" si="5"/>
        <v>20</v>
      </c>
      <c r="L23" s="597">
        <f t="shared" si="5"/>
        <v>5</v>
      </c>
      <c r="M23" s="597">
        <f t="shared" si="5"/>
        <v>171</v>
      </c>
      <c r="N23" s="597">
        <f t="shared" si="5"/>
        <v>18199</v>
      </c>
      <c r="O23" s="597">
        <f t="shared" si="5"/>
        <v>0</v>
      </c>
      <c r="P23" s="597">
        <f t="shared" si="5"/>
        <v>45</v>
      </c>
      <c r="Q23" s="597">
        <f t="shared" si="5"/>
        <v>0</v>
      </c>
      <c r="R23" s="597">
        <f t="shared" si="5"/>
        <v>0</v>
      </c>
      <c r="S23" s="597">
        <f t="shared" si="5"/>
        <v>2</v>
      </c>
      <c r="T23" s="597">
        <f t="shared" si="5"/>
        <v>47</v>
      </c>
      <c r="U23" s="597">
        <f t="shared" si="5"/>
        <v>0</v>
      </c>
      <c r="V23" s="597">
        <f t="shared" si="5"/>
        <v>0</v>
      </c>
      <c r="W23" s="597">
        <f t="shared" si="5"/>
        <v>0</v>
      </c>
      <c r="X23" s="597">
        <f t="shared" si="5"/>
        <v>0</v>
      </c>
      <c r="Y23" s="597">
        <f t="shared" si="5"/>
        <v>0</v>
      </c>
      <c r="Z23" s="597">
        <f t="shared" si="5"/>
        <v>0</v>
      </c>
      <c r="AA23" s="597">
        <f t="shared" si="5"/>
        <v>2391</v>
      </c>
      <c r="AB23" s="597">
        <f t="shared" si="5"/>
        <v>19</v>
      </c>
      <c r="AC23" s="597">
        <f>SUM(AC10:AC22)</f>
        <v>0</v>
      </c>
      <c r="AD23" s="597">
        <f>SUM(AD10:AD22)</f>
        <v>0</v>
      </c>
      <c r="AE23" s="597">
        <f>SUM(AE10:AE22)</f>
        <v>0</v>
      </c>
      <c r="AF23" s="597">
        <f>SUM(AF10:AF22)</f>
        <v>2410</v>
      </c>
    </row>
    <row r="24" spans="1:32" s="598" customFormat="1" ht="15.75" customHeight="1" x14ac:dyDescent="0.25">
      <c r="A24" s="1434"/>
      <c r="B24" s="1434"/>
      <c r="C24" s="1434"/>
      <c r="D24" s="1434"/>
      <c r="E24" s="1434"/>
      <c r="F24" s="1434"/>
      <c r="G24" s="1434"/>
      <c r="H24" s="1434"/>
      <c r="I24" s="1434"/>
      <c r="J24" s="1434"/>
      <c r="K24" s="1434"/>
      <c r="L24" s="1434"/>
      <c r="M24" s="1434"/>
      <c r="N24" s="1434"/>
      <c r="O24" s="1434"/>
      <c r="P24" s="1434"/>
      <c r="Q24" s="1434"/>
      <c r="R24" s="1434"/>
      <c r="S24" s="1434"/>
      <c r="T24" s="1434"/>
      <c r="U24" s="1434"/>
      <c r="V24" s="1434"/>
      <c r="W24" s="1434"/>
      <c r="X24" s="1434"/>
      <c r="Y24" s="1434"/>
      <c r="Z24" s="1434"/>
      <c r="AA24" s="1434"/>
      <c r="AB24" s="1434"/>
      <c r="AC24" s="1434"/>
      <c r="AD24" s="1434"/>
      <c r="AE24" s="1434"/>
      <c r="AF24" s="1434"/>
    </row>
    <row r="25" spans="1:32" s="598" customFormat="1" ht="26.25" customHeight="1" x14ac:dyDescent="0.25">
      <c r="A25" s="599"/>
      <c r="B25" s="599"/>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row>
    <row r="26" spans="1:32" s="536" customFormat="1" ht="26.25" customHeight="1" x14ac:dyDescent="0.25">
      <c r="A26" s="1433" t="s">
        <v>480</v>
      </c>
      <c r="B26" s="1433"/>
      <c r="C26" s="1433"/>
      <c r="D26" s="1433"/>
      <c r="E26" s="600"/>
      <c r="F26" s="600"/>
    </row>
    <row r="27" spans="1:32" s="536" customFormat="1" ht="26.25" customHeight="1" x14ac:dyDescent="0.25">
      <c r="A27" s="628" t="s">
        <v>475</v>
      </c>
      <c r="B27" s="628" t="s">
        <v>476</v>
      </c>
      <c r="C27" s="1417" t="s">
        <v>481</v>
      </c>
      <c r="D27" s="1417"/>
      <c r="E27" s="600"/>
      <c r="F27" s="600"/>
      <c r="H27" s="601"/>
      <c r="I27" s="601"/>
      <c r="J27" s="601"/>
      <c r="K27" s="601"/>
      <c r="L27" s="601"/>
      <c r="M27" s="601"/>
      <c r="N27" s="601"/>
      <c r="O27" s="601"/>
      <c r="P27" s="601"/>
      <c r="Q27" s="601"/>
      <c r="R27" s="601"/>
      <c r="S27" s="601"/>
    </row>
    <row r="28" spans="1:32" ht="26.25" customHeight="1" x14ac:dyDescent="0.25">
      <c r="A28" s="629" t="s">
        <v>477</v>
      </c>
      <c r="B28" s="630">
        <v>8440</v>
      </c>
      <c r="C28" s="1427">
        <v>8440</v>
      </c>
      <c r="D28" s="1427"/>
      <c r="E28" s="337"/>
      <c r="F28" s="337"/>
    </row>
    <row r="29" spans="1:32" s="12" customFormat="1" ht="26.25" customHeight="1" x14ac:dyDescent="0.25">
      <c r="A29" s="631" t="s">
        <v>478</v>
      </c>
      <c r="B29" s="632">
        <v>809</v>
      </c>
      <c r="C29" s="1428">
        <v>809</v>
      </c>
      <c r="D29" s="1428"/>
      <c r="E29" s="337"/>
      <c r="F29" s="337"/>
      <c r="I29" s="11"/>
      <c r="J29" s="11"/>
      <c r="N29" s="192"/>
      <c r="O29" s="53"/>
      <c r="P29" s="11"/>
      <c r="Q29" s="11"/>
      <c r="R29" s="11"/>
      <c r="S29" s="11"/>
      <c r="T29" s="11"/>
      <c r="U29" s="11"/>
      <c r="V29" s="11"/>
      <c r="W29" s="11"/>
      <c r="X29" s="11"/>
      <c r="Y29" s="11"/>
    </row>
    <row r="30" spans="1:32" s="12" customFormat="1" ht="26.25" customHeight="1" x14ac:dyDescent="0.25">
      <c r="A30" s="631" t="s">
        <v>479</v>
      </c>
      <c r="B30" s="632">
        <v>6127</v>
      </c>
      <c r="C30" s="1428">
        <v>6127</v>
      </c>
      <c r="D30" s="1428"/>
      <c r="E30" s="337"/>
      <c r="F30" s="337"/>
      <c r="L30" s="792"/>
      <c r="M30" s="792"/>
      <c r="N30" s="792"/>
      <c r="O30" s="792"/>
      <c r="P30" s="24"/>
      <c r="Q30" s="24"/>
      <c r="R30" s="24"/>
      <c r="S30" s="24"/>
      <c r="T30" s="24"/>
      <c r="U30" s="24"/>
      <c r="V30" s="24"/>
      <c r="W30" s="24"/>
      <c r="X30" s="24"/>
      <c r="Y30" s="24"/>
    </row>
    <row r="31" spans="1:32" s="12" customFormat="1" ht="26.25" customHeight="1" x14ac:dyDescent="0.3">
      <c r="A31" s="631" t="s">
        <v>520</v>
      </c>
      <c r="B31" s="633">
        <v>1907</v>
      </c>
      <c r="C31" s="1426">
        <v>1907</v>
      </c>
      <c r="D31" s="1426"/>
      <c r="E31" s="337"/>
      <c r="F31" s="337"/>
      <c r="L31" s="792"/>
      <c r="M31" s="792"/>
      <c r="N31" s="792"/>
      <c r="O31" s="792"/>
      <c r="P31" s="24"/>
      <c r="Q31" s="24"/>
      <c r="R31" s="24"/>
      <c r="S31" s="24"/>
      <c r="T31" s="24"/>
      <c r="U31" s="24"/>
      <c r="V31" s="24"/>
      <c r="W31" s="24"/>
      <c r="X31" s="24"/>
      <c r="Y31" s="24"/>
      <c r="AA31" s="571"/>
      <c r="AB31" s="1425" t="s">
        <v>12</v>
      </c>
      <c r="AC31" s="1425"/>
      <c r="AD31" s="1425"/>
    </row>
    <row r="32" spans="1:32" s="12" customFormat="1" ht="19.5" customHeight="1" x14ac:dyDescent="0.25">
      <c r="A32" s="510"/>
      <c r="B32" s="437"/>
      <c r="C32" s="437"/>
      <c r="D32" s="437"/>
      <c r="E32" s="337"/>
      <c r="F32" s="337"/>
      <c r="L32" s="792"/>
      <c r="M32" s="792"/>
      <c r="N32" s="792"/>
      <c r="O32" s="792"/>
      <c r="P32" s="24"/>
      <c r="Q32" s="24"/>
      <c r="R32" s="24"/>
      <c r="S32" s="24"/>
      <c r="T32" s="24"/>
      <c r="U32" s="24"/>
      <c r="V32" s="24"/>
      <c r="W32" s="24"/>
      <c r="X32" s="24"/>
      <c r="Y32" s="24"/>
      <c r="Z32" s="24"/>
      <c r="AA32" s="1424" t="s">
        <v>13</v>
      </c>
      <c r="AB32" s="1424"/>
      <c r="AC32" s="1424"/>
      <c r="AD32" s="1424"/>
      <c r="AE32" s="1424"/>
      <c r="AF32" s="1424"/>
    </row>
    <row r="33" spans="1:32" s="12" customFormat="1" ht="19.5" customHeight="1" x14ac:dyDescent="0.25">
      <c r="A33" s="39" t="s">
        <v>645</v>
      </c>
      <c r="B33" s="437"/>
      <c r="C33" s="437"/>
      <c r="D33" s="437"/>
      <c r="E33" s="337"/>
      <c r="F33" s="337"/>
      <c r="L33" s="792"/>
      <c r="M33" s="792"/>
      <c r="N33" s="792"/>
      <c r="O33" s="792"/>
      <c r="P33" s="24"/>
      <c r="Q33" s="24"/>
      <c r="R33" s="24"/>
      <c r="S33" s="24"/>
      <c r="T33" s="24"/>
      <c r="U33" s="24"/>
      <c r="V33" s="24"/>
      <c r="W33" s="24"/>
      <c r="X33" s="24"/>
      <c r="Y33" s="24"/>
      <c r="Z33" s="573" t="s">
        <v>644</v>
      </c>
      <c r="AC33" s="535"/>
      <c r="AD33" s="535"/>
      <c r="AE33" s="535"/>
      <c r="AF33" s="535"/>
    </row>
    <row r="34" spans="1:32" s="12" customFormat="1" ht="19.5" customHeight="1" x14ac:dyDescent="0.25">
      <c r="A34" s="510"/>
      <c r="B34" s="437"/>
      <c r="C34" s="437"/>
      <c r="D34" s="437"/>
      <c r="E34" s="337"/>
      <c r="F34" s="337"/>
      <c r="L34" s="792"/>
      <c r="M34" s="792"/>
      <c r="N34" s="792"/>
      <c r="O34" s="792"/>
      <c r="P34" s="24"/>
      <c r="Q34" s="24"/>
      <c r="R34" s="24"/>
      <c r="S34" s="24"/>
      <c r="T34" s="24"/>
      <c r="U34" s="24"/>
      <c r="V34" s="24"/>
      <c r="W34" s="24"/>
      <c r="X34" s="24"/>
      <c r="Y34" s="24"/>
      <c r="Z34" s="24"/>
      <c r="AA34" s="572" t="s">
        <v>85</v>
      </c>
      <c r="AB34" s="192"/>
      <c r="AD34" s="572"/>
      <c r="AE34" s="572"/>
      <c r="AF34" s="572"/>
    </row>
    <row r="35" spans="1:32" s="12" customFormat="1" ht="19.5" customHeight="1" x14ac:dyDescent="0.25">
      <c r="B35" s="11"/>
      <c r="D35" s="437"/>
      <c r="E35" s="337"/>
      <c r="F35" s="337"/>
      <c r="L35" s="792"/>
      <c r="M35" s="792"/>
      <c r="N35" s="792"/>
      <c r="O35" s="792"/>
      <c r="P35" s="11"/>
      <c r="Q35" s="11"/>
      <c r="R35" s="11"/>
      <c r="S35" s="11"/>
      <c r="T35" s="11"/>
      <c r="U35" s="11"/>
      <c r="V35" s="11"/>
      <c r="X35" s="24"/>
      <c r="Y35" s="24"/>
      <c r="Z35" s="24"/>
      <c r="AA35" s="24"/>
    </row>
    <row r="36" spans="1:32" x14ac:dyDescent="0.25">
      <c r="D36" s="437"/>
      <c r="E36" s="337"/>
      <c r="F36" s="337"/>
      <c r="G36" s="12"/>
      <c r="H36" s="12"/>
      <c r="I36" s="12"/>
    </row>
  </sheetData>
  <mergeCells count="20">
    <mergeCell ref="AE2:AH2"/>
    <mergeCell ref="O7:T7"/>
    <mergeCell ref="A4:AF4"/>
    <mergeCell ref="A3:AF3"/>
    <mergeCell ref="A26:D26"/>
    <mergeCell ref="A24:AF24"/>
    <mergeCell ref="I7:N7"/>
    <mergeCell ref="U7:Z7"/>
    <mergeCell ref="A5:AF5"/>
    <mergeCell ref="C7:H7"/>
    <mergeCell ref="C27:D27"/>
    <mergeCell ref="AA7:AF7"/>
    <mergeCell ref="A7:A8"/>
    <mergeCell ref="B7:B8"/>
    <mergeCell ref="AA32:AF32"/>
    <mergeCell ref="AB31:AD31"/>
    <mergeCell ref="C31:D31"/>
    <mergeCell ref="C28:D28"/>
    <mergeCell ref="C30:D30"/>
    <mergeCell ref="C29:D29"/>
  </mergeCells>
  <phoneticPr fontId="0" type="noConversion"/>
  <printOptions horizontalCentered="1"/>
  <pageMargins left="0.19" right="0.16" top="0.23622047244094491" bottom="0" header="0.28999999999999998" footer="0.31496062992125984"/>
  <pageSetup paperSize="9" scale="42"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C00000"/>
    <pageSetUpPr fitToPage="1"/>
  </sheetPr>
  <dimension ref="A1:S30"/>
  <sheetViews>
    <sheetView view="pageBreakPreview" zoomScale="89" zoomScaleSheetLayoutView="89" workbookViewId="0">
      <selection activeCell="D23" sqref="D23"/>
    </sheetView>
  </sheetViews>
  <sheetFormatPr defaultColWidth="8.85546875" defaultRowHeight="14.25" x14ac:dyDescent="0.2"/>
  <cols>
    <col min="1" max="1" width="8.5703125" style="52" customWidth="1"/>
    <col min="2" max="2" width="24.28515625" style="52" customWidth="1"/>
    <col min="3" max="3" width="12.42578125" style="52" customWidth="1"/>
    <col min="4" max="5" width="12.85546875" style="52" customWidth="1"/>
    <col min="6" max="6" width="16" style="52" customWidth="1"/>
    <col min="7" max="7" width="13" style="52" customWidth="1"/>
    <col min="8" max="8" width="11.42578125" style="52" customWidth="1"/>
    <col min="9" max="9" width="10.7109375" style="52" customWidth="1"/>
    <col min="10" max="10" width="14.5703125" style="52" customWidth="1"/>
    <col min="11" max="11" width="13.28515625" style="52" customWidth="1"/>
    <col min="12" max="12" width="17.28515625" style="52" customWidth="1"/>
    <col min="13" max="16384" width="8.85546875" style="52"/>
  </cols>
  <sheetData>
    <row r="1" spans="1:19" ht="15" x14ac:dyDescent="0.2">
      <c r="B1" s="12"/>
      <c r="C1" s="12"/>
      <c r="D1" s="12"/>
      <c r="E1" s="985"/>
      <c r="F1" s="985"/>
      <c r="G1" s="985"/>
      <c r="H1" s="985"/>
      <c r="I1" s="985"/>
      <c r="J1" s="1"/>
      <c r="K1" s="1161" t="s">
        <v>715</v>
      </c>
      <c r="L1" s="1161"/>
    </row>
    <row r="2" spans="1:19" ht="15.75" x14ac:dyDescent="0.25">
      <c r="A2" s="1056" t="s">
        <v>0</v>
      </c>
      <c r="B2" s="1056"/>
      <c r="C2" s="1056"/>
      <c r="D2" s="1056"/>
      <c r="E2" s="1056"/>
      <c r="F2" s="1056"/>
      <c r="G2" s="1056"/>
      <c r="H2" s="1056"/>
      <c r="I2" s="1056"/>
      <c r="J2" s="1056"/>
      <c r="K2" s="1056"/>
      <c r="L2" s="1056"/>
    </row>
    <row r="3" spans="1:19" ht="15.75" x14ac:dyDescent="0.25">
      <c r="A3" s="1056" t="s">
        <v>794</v>
      </c>
      <c r="B3" s="1056"/>
      <c r="C3" s="1056"/>
      <c r="D3" s="1056"/>
      <c r="E3" s="1056"/>
      <c r="F3" s="1056"/>
      <c r="G3" s="1056"/>
      <c r="H3" s="1056"/>
      <c r="I3" s="1056"/>
      <c r="J3" s="1056"/>
      <c r="K3" s="1056"/>
      <c r="L3" s="1056"/>
    </row>
    <row r="4" spans="1:19" s="190" customFormat="1" ht="15.6" customHeight="1" x14ac:dyDescent="0.25">
      <c r="A4" s="1127" t="s">
        <v>716</v>
      </c>
      <c r="B4" s="1127"/>
      <c r="C4" s="1127"/>
      <c r="D4" s="1127"/>
      <c r="E4" s="1127"/>
      <c r="F4" s="1127"/>
      <c r="G4" s="1127"/>
      <c r="H4" s="1127"/>
      <c r="I4" s="1127"/>
      <c r="J4" s="1127"/>
      <c r="K4" s="1127"/>
      <c r="L4" s="1127"/>
    </row>
    <row r="5" spans="1:19" ht="15" x14ac:dyDescent="0.25">
      <c r="A5" s="1000" t="s">
        <v>463</v>
      </c>
      <c r="B5" s="1000"/>
      <c r="G5" s="54"/>
      <c r="H5" s="54"/>
    </row>
    <row r="6" spans="1:19" ht="18.75" customHeight="1" x14ac:dyDescent="0.2">
      <c r="A6" s="1440" t="s">
        <v>115</v>
      </c>
      <c r="B6" s="1437" t="s">
        <v>3</v>
      </c>
      <c r="C6" s="1447" t="s">
        <v>26</v>
      </c>
      <c r="D6" s="1447"/>
      <c r="E6" s="1447"/>
      <c r="F6" s="1447"/>
      <c r="G6" s="1447" t="s">
        <v>27</v>
      </c>
      <c r="H6" s="1447"/>
      <c r="I6" s="1447"/>
      <c r="J6" s="1447"/>
      <c r="K6" s="1437" t="s">
        <v>212</v>
      </c>
      <c r="L6" s="1437" t="s">
        <v>123</v>
      </c>
    </row>
    <row r="7" spans="1:19" ht="31.15" customHeight="1" x14ac:dyDescent="0.2">
      <c r="A7" s="1441"/>
      <c r="B7" s="1438"/>
      <c r="C7" s="1439" t="s">
        <v>272</v>
      </c>
      <c r="D7" s="1437" t="s">
        <v>525</v>
      </c>
      <c r="E7" s="1439" t="s">
        <v>102</v>
      </c>
      <c r="F7" s="1439"/>
      <c r="G7" s="1439" t="s">
        <v>272</v>
      </c>
      <c r="H7" s="1439" t="s">
        <v>525</v>
      </c>
      <c r="I7" s="1439" t="s">
        <v>102</v>
      </c>
      <c r="J7" s="1439"/>
      <c r="K7" s="1438"/>
      <c r="L7" s="1438"/>
    </row>
    <row r="8" spans="1:19" ht="63" customHeight="1" x14ac:dyDescent="0.2">
      <c r="A8" s="1442"/>
      <c r="B8" s="1443"/>
      <c r="C8" s="1439"/>
      <c r="D8" s="1438"/>
      <c r="E8" s="813" t="s">
        <v>893</v>
      </c>
      <c r="F8" s="307" t="s">
        <v>526</v>
      </c>
      <c r="G8" s="1439"/>
      <c r="H8" s="1439"/>
      <c r="I8" s="813" t="s">
        <v>893</v>
      </c>
      <c r="J8" s="264" t="s">
        <v>155</v>
      </c>
      <c r="K8" s="1443"/>
      <c r="L8" s="1443"/>
    </row>
    <row r="9" spans="1:19" x14ac:dyDescent="0.2">
      <c r="A9" s="267">
        <v>1</v>
      </c>
      <c r="B9" s="268">
        <v>2</v>
      </c>
      <c r="C9" s="267">
        <v>3</v>
      </c>
      <c r="D9" s="265">
        <v>4</v>
      </c>
      <c r="E9" s="269">
        <v>5</v>
      </c>
      <c r="F9" s="265">
        <v>6</v>
      </c>
      <c r="G9" s="269">
        <v>7</v>
      </c>
      <c r="H9" s="265">
        <v>8</v>
      </c>
      <c r="I9" s="269">
        <v>9</v>
      </c>
      <c r="J9" s="268">
        <v>10</v>
      </c>
      <c r="K9" s="267">
        <v>11</v>
      </c>
      <c r="L9" s="268">
        <v>12</v>
      </c>
      <c r="N9" s="72"/>
      <c r="O9" s="72"/>
    </row>
    <row r="10" spans="1:19" s="71" customFormat="1" ht="24.95" customHeight="1" x14ac:dyDescent="0.2">
      <c r="A10" s="194">
        <v>1</v>
      </c>
      <c r="B10" s="225" t="s">
        <v>392</v>
      </c>
      <c r="C10" s="266">
        <v>25538</v>
      </c>
      <c r="D10" s="371">
        <v>2190</v>
      </c>
      <c r="E10" s="350">
        <v>1675</v>
      </c>
      <c r="F10" s="244">
        <v>0</v>
      </c>
      <c r="G10" s="266">
        <v>23434</v>
      </c>
      <c r="H10" s="371">
        <v>1063</v>
      </c>
      <c r="I10" s="350">
        <v>876</v>
      </c>
      <c r="J10" s="244">
        <v>0</v>
      </c>
      <c r="K10" s="270">
        <v>0</v>
      </c>
      <c r="L10" s="206">
        <f>K10*10*1500/100000</f>
        <v>0</v>
      </c>
      <c r="M10" s="52"/>
      <c r="N10" s="72"/>
      <c r="O10" s="72"/>
      <c r="P10" s="72"/>
      <c r="Q10" s="72"/>
      <c r="R10" s="72"/>
      <c r="S10" s="72"/>
    </row>
    <row r="11" spans="1:19" ht="24.95" customHeight="1" x14ac:dyDescent="0.2">
      <c r="A11" s="194">
        <v>2</v>
      </c>
      <c r="B11" s="225" t="s">
        <v>393</v>
      </c>
      <c r="C11" s="266">
        <v>13184</v>
      </c>
      <c r="D11" s="371">
        <v>925</v>
      </c>
      <c r="E11" s="350">
        <v>757</v>
      </c>
      <c r="F11" s="244">
        <v>0</v>
      </c>
      <c r="G11" s="266">
        <v>10731</v>
      </c>
      <c r="H11" s="371">
        <v>450</v>
      </c>
      <c r="I11" s="350">
        <v>379</v>
      </c>
      <c r="J11" s="244">
        <v>0</v>
      </c>
      <c r="K11" s="270">
        <v>0</v>
      </c>
      <c r="L11" s="206">
        <f t="shared" ref="L11:L22" si="0">K11*10*1500/100000</f>
        <v>0</v>
      </c>
    </row>
    <row r="12" spans="1:19" ht="24.95" customHeight="1" x14ac:dyDescent="0.2">
      <c r="A12" s="194">
        <v>3</v>
      </c>
      <c r="B12" s="225" t="s">
        <v>394</v>
      </c>
      <c r="C12" s="266">
        <v>21254</v>
      </c>
      <c r="D12" s="371">
        <v>1467</v>
      </c>
      <c r="E12" s="350">
        <v>1283</v>
      </c>
      <c r="F12" s="270">
        <v>0</v>
      </c>
      <c r="G12" s="266">
        <v>15957</v>
      </c>
      <c r="H12" s="371">
        <v>758</v>
      </c>
      <c r="I12" s="350">
        <v>691</v>
      </c>
      <c r="J12" s="270">
        <v>0</v>
      </c>
      <c r="K12" s="270">
        <v>0</v>
      </c>
      <c r="L12" s="206">
        <f t="shared" si="0"/>
        <v>0</v>
      </c>
    </row>
    <row r="13" spans="1:19" ht="24.95" customHeight="1" x14ac:dyDescent="0.2">
      <c r="A13" s="194">
        <v>4</v>
      </c>
      <c r="B13" s="225" t="s">
        <v>395</v>
      </c>
      <c r="C13" s="266">
        <v>13500</v>
      </c>
      <c r="D13" s="371">
        <v>871</v>
      </c>
      <c r="E13" s="350">
        <v>721</v>
      </c>
      <c r="F13" s="270">
        <v>0</v>
      </c>
      <c r="G13" s="266">
        <v>10975</v>
      </c>
      <c r="H13" s="371">
        <v>426</v>
      </c>
      <c r="I13" s="350">
        <v>376</v>
      </c>
      <c r="J13" s="270">
        <v>0</v>
      </c>
      <c r="K13" s="270">
        <v>0</v>
      </c>
      <c r="L13" s="206">
        <f t="shared" si="0"/>
        <v>0</v>
      </c>
    </row>
    <row r="14" spans="1:19" ht="24.95" customHeight="1" x14ac:dyDescent="0.2">
      <c r="A14" s="194">
        <v>5</v>
      </c>
      <c r="B14" s="227" t="s">
        <v>396</v>
      </c>
      <c r="C14" s="266">
        <v>44365</v>
      </c>
      <c r="D14" s="371">
        <v>1778</v>
      </c>
      <c r="E14" s="350">
        <v>1561</v>
      </c>
      <c r="F14" s="270">
        <v>0</v>
      </c>
      <c r="G14" s="266">
        <v>32549</v>
      </c>
      <c r="H14" s="371">
        <v>1150</v>
      </c>
      <c r="I14" s="350">
        <v>936</v>
      </c>
      <c r="J14" s="270">
        <v>0</v>
      </c>
      <c r="K14" s="270">
        <v>0</v>
      </c>
      <c r="L14" s="206">
        <f t="shared" si="0"/>
        <v>0</v>
      </c>
    </row>
    <row r="15" spans="1:19" ht="24.95" customHeight="1" x14ac:dyDescent="0.2">
      <c r="A15" s="194">
        <v>6</v>
      </c>
      <c r="B15" s="225" t="s">
        <v>397</v>
      </c>
      <c r="C15" s="266">
        <v>101454</v>
      </c>
      <c r="D15" s="371">
        <v>2057</v>
      </c>
      <c r="E15" s="350">
        <v>1668</v>
      </c>
      <c r="F15" s="270">
        <v>0</v>
      </c>
      <c r="G15" s="266">
        <v>51386</v>
      </c>
      <c r="H15" s="371">
        <v>923</v>
      </c>
      <c r="I15" s="350">
        <v>801</v>
      </c>
      <c r="J15" s="270">
        <v>0</v>
      </c>
      <c r="K15" s="270">
        <v>0</v>
      </c>
      <c r="L15" s="206">
        <f t="shared" si="0"/>
        <v>0</v>
      </c>
    </row>
    <row r="16" spans="1:19" ht="24.95" customHeight="1" x14ac:dyDescent="0.2">
      <c r="A16" s="194">
        <v>7</v>
      </c>
      <c r="B16" s="227" t="s">
        <v>398</v>
      </c>
      <c r="C16" s="266">
        <v>35510</v>
      </c>
      <c r="D16" s="371">
        <v>1894</v>
      </c>
      <c r="E16" s="350">
        <v>1474</v>
      </c>
      <c r="F16" s="270">
        <v>0</v>
      </c>
      <c r="G16" s="266">
        <v>29346</v>
      </c>
      <c r="H16" s="371">
        <v>1048</v>
      </c>
      <c r="I16" s="350">
        <v>846</v>
      </c>
      <c r="J16" s="270">
        <v>0</v>
      </c>
      <c r="K16" s="270">
        <v>0</v>
      </c>
      <c r="L16" s="206">
        <f t="shared" si="0"/>
        <v>0</v>
      </c>
    </row>
    <row r="17" spans="1:19" ht="24.95" customHeight="1" x14ac:dyDescent="0.2">
      <c r="A17" s="194">
        <v>8</v>
      </c>
      <c r="B17" s="225" t="s">
        <v>399</v>
      </c>
      <c r="C17" s="266">
        <v>26107</v>
      </c>
      <c r="D17" s="371">
        <v>2308</v>
      </c>
      <c r="E17" s="350">
        <v>1842</v>
      </c>
      <c r="F17" s="270">
        <v>0</v>
      </c>
      <c r="G17" s="266">
        <v>23510</v>
      </c>
      <c r="H17" s="371">
        <v>1232</v>
      </c>
      <c r="I17" s="350">
        <v>1064</v>
      </c>
      <c r="J17" s="270">
        <v>0</v>
      </c>
      <c r="K17" s="270">
        <v>0</v>
      </c>
      <c r="L17" s="206">
        <f t="shared" si="0"/>
        <v>0</v>
      </c>
    </row>
    <row r="18" spans="1:19" ht="24.95" customHeight="1" x14ac:dyDescent="0.2">
      <c r="A18" s="194">
        <v>9</v>
      </c>
      <c r="B18" s="225" t="s">
        <v>400</v>
      </c>
      <c r="C18" s="266">
        <v>20306</v>
      </c>
      <c r="D18" s="371">
        <v>1635</v>
      </c>
      <c r="E18" s="350">
        <v>1337</v>
      </c>
      <c r="F18" s="270">
        <v>0</v>
      </c>
      <c r="G18" s="266">
        <v>16379</v>
      </c>
      <c r="H18" s="371">
        <v>852</v>
      </c>
      <c r="I18" s="350">
        <v>702</v>
      </c>
      <c r="J18" s="270">
        <v>0</v>
      </c>
      <c r="K18" s="270">
        <v>0</v>
      </c>
      <c r="L18" s="206">
        <f t="shared" si="0"/>
        <v>0</v>
      </c>
    </row>
    <row r="19" spans="1:19" ht="24.95" customHeight="1" x14ac:dyDescent="0.2">
      <c r="A19" s="194">
        <v>10</v>
      </c>
      <c r="B19" s="225" t="s">
        <v>401</v>
      </c>
      <c r="C19" s="266">
        <v>12859</v>
      </c>
      <c r="D19" s="371">
        <v>911</v>
      </c>
      <c r="E19" s="350">
        <v>728</v>
      </c>
      <c r="F19" s="270">
        <v>0</v>
      </c>
      <c r="G19" s="266">
        <v>11548</v>
      </c>
      <c r="H19" s="371">
        <v>488</v>
      </c>
      <c r="I19" s="350">
        <v>433</v>
      </c>
      <c r="J19" s="270">
        <v>0</v>
      </c>
      <c r="K19" s="270">
        <v>0</v>
      </c>
      <c r="L19" s="206">
        <f t="shared" si="0"/>
        <v>0</v>
      </c>
    </row>
    <row r="20" spans="1:19" ht="24.95" customHeight="1" x14ac:dyDescent="0.2">
      <c r="A20" s="194">
        <v>11</v>
      </c>
      <c r="B20" s="225" t="s">
        <v>402</v>
      </c>
      <c r="C20" s="266">
        <v>31323</v>
      </c>
      <c r="D20" s="371">
        <v>2356</v>
      </c>
      <c r="E20" s="350">
        <v>1850</v>
      </c>
      <c r="F20" s="270">
        <v>0</v>
      </c>
      <c r="G20" s="266">
        <v>26938</v>
      </c>
      <c r="H20" s="371">
        <v>1197</v>
      </c>
      <c r="I20" s="350">
        <v>1008</v>
      </c>
      <c r="J20" s="270">
        <v>0</v>
      </c>
      <c r="K20" s="270">
        <v>0</v>
      </c>
      <c r="L20" s="206">
        <f t="shared" si="0"/>
        <v>0</v>
      </c>
    </row>
    <row r="21" spans="1:19" ht="24.95" customHeight="1" x14ac:dyDescent="0.2">
      <c r="A21" s="194">
        <v>12</v>
      </c>
      <c r="B21" s="225" t="s">
        <v>403</v>
      </c>
      <c r="C21" s="266">
        <v>76935</v>
      </c>
      <c r="D21" s="371">
        <v>1995</v>
      </c>
      <c r="E21" s="350">
        <v>1832</v>
      </c>
      <c r="F21" s="270">
        <v>0</v>
      </c>
      <c r="G21" s="266">
        <v>47275</v>
      </c>
      <c r="H21" s="371">
        <v>1162</v>
      </c>
      <c r="I21" s="350">
        <v>982</v>
      </c>
      <c r="J21" s="270">
        <v>0</v>
      </c>
      <c r="K21" s="270">
        <v>0</v>
      </c>
      <c r="L21" s="206">
        <f t="shared" si="0"/>
        <v>0</v>
      </c>
    </row>
    <row r="22" spans="1:19" ht="24.95" customHeight="1" x14ac:dyDescent="0.2">
      <c r="A22" s="194">
        <v>13</v>
      </c>
      <c r="B22" s="225" t="s">
        <v>404</v>
      </c>
      <c r="C22" s="266">
        <v>18747</v>
      </c>
      <c r="D22" s="371">
        <v>1174</v>
      </c>
      <c r="E22" s="350">
        <v>1033</v>
      </c>
      <c r="F22" s="270">
        <v>0</v>
      </c>
      <c r="G22" s="266">
        <v>12773</v>
      </c>
      <c r="H22" s="371">
        <v>679</v>
      </c>
      <c r="I22" s="350">
        <v>520</v>
      </c>
      <c r="J22" s="270">
        <v>0</v>
      </c>
      <c r="K22" s="270">
        <v>0</v>
      </c>
      <c r="L22" s="206">
        <f t="shared" si="0"/>
        <v>0</v>
      </c>
    </row>
    <row r="23" spans="1:19" s="171" customFormat="1" ht="24.95" customHeight="1" x14ac:dyDescent="0.2">
      <c r="A23" s="194" t="s">
        <v>18</v>
      </c>
      <c r="B23" s="194"/>
      <c r="C23" s="271">
        <f t="shared" ref="C23:L23" si="1">SUM(C10:C22)</f>
        <v>441082</v>
      </c>
      <c r="D23" s="271">
        <f t="shared" si="1"/>
        <v>21561</v>
      </c>
      <c r="E23" s="233">
        <f t="shared" si="1"/>
        <v>17761</v>
      </c>
      <c r="F23" s="233">
        <f t="shared" si="1"/>
        <v>0</v>
      </c>
      <c r="G23" s="271">
        <f>SUM(G10:G22)</f>
        <v>312801</v>
      </c>
      <c r="H23" s="271">
        <f>SUM(H10:H22)</f>
        <v>11428</v>
      </c>
      <c r="I23" s="233">
        <f t="shared" si="1"/>
        <v>9614</v>
      </c>
      <c r="J23" s="233">
        <f t="shared" si="1"/>
        <v>0</v>
      </c>
      <c r="K23" s="233">
        <f t="shared" si="1"/>
        <v>0</v>
      </c>
      <c r="L23" s="207">
        <f t="shared" si="1"/>
        <v>0</v>
      </c>
      <c r="M23" s="52"/>
    </row>
    <row r="24" spans="1:19" ht="30.6" customHeight="1" x14ac:dyDescent="0.2">
      <c r="A24" s="1444" t="s">
        <v>124</v>
      </c>
      <c r="B24" s="1445"/>
      <c r="C24" s="1445"/>
      <c r="D24" s="1445"/>
      <c r="E24" s="1445"/>
      <c r="F24" s="1445"/>
      <c r="G24" s="1445"/>
      <c r="H24" s="1445"/>
      <c r="I24" s="1445"/>
      <c r="J24" s="1445"/>
      <c r="K24" s="1446"/>
      <c r="L24" s="1446"/>
    </row>
    <row r="25" spans="1:19" ht="30.6" customHeight="1" x14ac:dyDescent="0.2">
      <c r="A25" s="172"/>
      <c r="B25" s="173"/>
      <c r="C25" s="173"/>
      <c r="D25" s="173"/>
      <c r="E25" s="173"/>
      <c r="F25" s="173"/>
      <c r="G25" s="173"/>
      <c r="H25" s="173"/>
      <c r="I25" s="173"/>
      <c r="J25" s="173"/>
      <c r="K25" s="174"/>
      <c r="L25" s="174"/>
    </row>
    <row r="26" spans="1:19" x14ac:dyDescent="0.2">
      <c r="A26" s="11"/>
      <c r="B26" s="11"/>
      <c r="C26" s="11"/>
      <c r="D26" s="12"/>
      <c r="E26" s="12"/>
      <c r="F26" s="12"/>
      <c r="G26" s="12"/>
      <c r="H26" s="12"/>
      <c r="I26" s="12"/>
      <c r="J26" s="12"/>
      <c r="K26" s="12"/>
      <c r="L26" s="12"/>
      <c r="M26" s="12"/>
      <c r="N26" s="12"/>
      <c r="O26" s="12"/>
      <c r="P26" s="12"/>
      <c r="Q26" s="12"/>
      <c r="R26" s="12"/>
    </row>
    <row r="27" spans="1:19" s="12" customFormat="1" ht="15.75" customHeight="1" x14ac:dyDescent="0.2">
      <c r="A27" s="11" t="s">
        <v>11</v>
      </c>
      <c r="D27" s="11"/>
      <c r="E27" s="11"/>
      <c r="H27" s="11"/>
      <c r="I27" s="11"/>
      <c r="J27" s="11"/>
      <c r="K27" s="1011" t="s">
        <v>12</v>
      </c>
      <c r="L27" s="1011"/>
      <c r="M27" s="11"/>
      <c r="N27" s="11"/>
      <c r="O27" s="11"/>
      <c r="P27" s="11"/>
    </row>
    <row r="28" spans="1:19" s="12" customFormat="1" ht="13.15" customHeight="1" x14ac:dyDescent="0.2">
      <c r="G28" s="11"/>
      <c r="I28" s="24"/>
      <c r="J28" s="985" t="s">
        <v>13</v>
      </c>
      <c r="K28" s="985"/>
      <c r="L28" s="985"/>
      <c r="M28" s="24"/>
      <c r="N28" s="24"/>
      <c r="O28" s="24"/>
      <c r="P28" s="24"/>
      <c r="Q28" s="24"/>
      <c r="R28" s="24"/>
      <c r="S28" s="55"/>
    </row>
    <row r="29" spans="1:19" s="12" customFormat="1" ht="12.75" customHeight="1" x14ac:dyDescent="0.2">
      <c r="H29" s="24"/>
      <c r="I29" s="985" t="s">
        <v>88</v>
      </c>
      <c r="J29" s="985"/>
      <c r="K29" s="985"/>
      <c r="L29" s="985"/>
      <c r="M29" s="24"/>
      <c r="N29" s="24"/>
      <c r="O29" s="24"/>
      <c r="P29" s="24"/>
      <c r="Q29" s="24"/>
      <c r="R29" s="24"/>
      <c r="S29" s="55"/>
    </row>
    <row r="30" spans="1:19" s="12" customFormat="1" ht="12.75" x14ac:dyDescent="0.2">
      <c r="A30" s="11"/>
      <c r="B30" s="11"/>
      <c r="H30" s="11"/>
      <c r="I30" s="11"/>
      <c r="J30" s="11"/>
      <c r="K30" s="11" t="s">
        <v>85</v>
      </c>
      <c r="L30" s="11"/>
      <c r="M30" s="11"/>
      <c r="Q30" s="11"/>
    </row>
  </sheetData>
  <mergeCells count="22">
    <mergeCell ref="A3:L3"/>
    <mergeCell ref="G7:G8"/>
    <mergeCell ref="L6:L8"/>
    <mergeCell ref="A24:L24"/>
    <mergeCell ref="E1:I1"/>
    <mergeCell ref="K1:L1"/>
    <mergeCell ref="G6:J6"/>
    <mergeCell ref="C6:F6"/>
    <mergeCell ref="K6:K8"/>
    <mergeCell ref="A2:L2"/>
    <mergeCell ref="J28:L28"/>
    <mergeCell ref="I29:L29"/>
    <mergeCell ref="A4:L4"/>
    <mergeCell ref="D7:D8"/>
    <mergeCell ref="I7:J7"/>
    <mergeCell ref="E7:F7"/>
    <mergeCell ref="C7:C8"/>
    <mergeCell ref="H7:H8"/>
    <mergeCell ref="A5:B5"/>
    <mergeCell ref="A6:A8"/>
    <mergeCell ref="B6:B8"/>
    <mergeCell ref="K27:L27"/>
  </mergeCells>
  <phoneticPr fontId="0" type="noConversion"/>
  <printOptions horizontalCentered="1"/>
  <pageMargins left="0.56000000000000005" right="0.31" top="0.23622047244094491" bottom="0" header="0.31496062992125984" footer="0.25"/>
  <pageSetup paperSize="9" scale="84"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C00000"/>
    <pageSetUpPr fitToPage="1"/>
  </sheetPr>
  <dimension ref="A1:IU33"/>
  <sheetViews>
    <sheetView view="pageBreakPreview" topLeftCell="A7" zoomScale="91" zoomScaleSheetLayoutView="91" workbookViewId="0">
      <selection activeCell="A17" sqref="A17:B18"/>
    </sheetView>
  </sheetViews>
  <sheetFormatPr defaultRowHeight="12.75" x14ac:dyDescent="0.2"/>
  <cols>
    <col min="1" max="1" width="4.7109375" style="100" customWidth="1"/>
    <col min="2" max="2" width="17.7109375" style="100" customWidth="1"/>
    <col min="3" max="3" width="8" style="100" customWidth="1"/>
    <col min="4" max="4" width="8.42578125" style="100" customWidth="1"/>
    <col min="5" max="5" width="7.85546875" style="100" customWidth="1"/>
    <col min="6" max="6" width="8.5703125" style="100" customWidth="1"/>
    <col min="7" max="7" width="8.42578125" style="100" customWidth="1"/>
    <col min="8" max="8" width="7.85546875" style="100" customWidth="1"/>
    <col min="9" max="9" width="8.28515625" style="100" customWidth="1"/>
    <col min="10" max="10" width="8.42578125" style="100" customWidth="1"/>
    <col min="11" max="11" width="7.85546875" style="100" customWidth="1"/>
    <col min="12" max="17" width="8" style="100" customWidth="1"/>
    <col min="18" max="18" width="8.5703125" style="100" customWidth="1"/>
    <col min="19" max="20" width="8" style="100" customWidth="1"/>
    <col min="21" max="21" width="9.28515625" style="100" customWidth="1"/>
    <col min="22" max="22" width="8.5703125" style="100" customWidth="1"/>
    <col min="23" max="23" width="8" style="100" customWidth="1"/>
    <col min="24" max="24" width="9.42578125" style="100" bestFit="1" customWidth="1"/>
    <col min="25" max="16384" width="9.140625" style="100"/>
  </cols>
  <sheetData>
    <row r="1" spans="1:255" ht="15.75" x14ac:dyDescent="0.25">
      <c r="P1" s="188"/>
      <c r="Q1" s="188"/>
      <c r="R1" s="188"/>
      <c r="S1" s="188"/>
      <c r="U1" s="188"/>
      <c r="V1" s="1459" t="s">
        <v>717</v>
      </c>
      <c r="W1" s="1459"/>
    </row>
    <row r="2" spans="1:255" ht="15.75" x14ac:dyDescent="0.25">
      <c r="A2" s="1324" t="s">
        <v>0</v>
      </c>
      <c r="B2" s="1324"/>
      <c r="C2" s="1324"/>
      <c r="D2" s="1324"/>
      <c r="E2" s="1324"/>
      <c r="F2" s="1324"/>
      <c r="G2" s="1324"/>
      <c r="H2" s="1324"/>
      <c r="I2" s="1324"/>
      <c r="J2" s="1324"/>
      <c r="K2" s="1324"/>
      <c r="L2" s="1324"/>
      <c r="M2" s="1324"/>
      <c r="N2" s="1324"/>
      <c r="O2" s="1324"/>
      <c r="P2" s="1324"/>
      <c r="Q2" s="1324"/>
      <c r="R2" s="1324"/>
      <c r="S2" s="1324"/>
      <c r="T2" s="1324"/>
      <c r="U2" s="1324"/>
      <c r="V2" s="1324"/>
      <c r="W2" s="1324"/>
    </row>
    <row r="3" spans="1:255" ht="15.75" x14ac:dyDescent="0.25">
      <c r="A3" s="1324" t="s">
        <v>794</v>
      </c>
      <c r="B3" s="1324"/>
      <c r="C3" s="1324"/>
      <c r="D3" s="1324"/>
      <c r="E3" s="1324"/>
      <c r="F3" s="1324"/>
      <c r="G3" s="1324"/>
      <c r="H3" s="1324"/>
      <c r="I3" s="1324"/>
      <c r="J3" s="1324"/>
      <c r="K3" s="1324"/>
      <c r="L3" s="1324"/>
      <c r="M3" s="1324"/>
      <c r="N3" s="1324"/>
      <c r="O3" s="1324"/>
      <c r="P3" s="1324"/>
      <c r="Q3" s="1324"/>
      <c r="R3" s="1324"/>
      <c r="S3" s="1324"/>
      <c r="T3" s="1324"/>
      <c r="U3" s="1324"/>
      <c r="V3" s="1324"/>
      <c r="W3" s="1324"/>
    </row>
    <row r="4" spans="1:255" ht="18" x14ac:dyDescent="0.25">
      <c r="A4" s="1451" t="s">
        <v>990</v>
      </c>
      <c r="B4" s="1451"/>
      <c r="C4" s="1451"/>
      <c r="D4" s="1451"/>
      <c r="E4" s="1451"/>
      <c r="F4" s="1451"/>
      <c r="G4" s="1451"/>
      <c r="H4" s="1451"/>
      <c r="I4" s="1451"/>
      <c r="J4" s="1451"/>
      <c r="K4" s="1451"/>
      <c r="L4" s="1451"/>
      <c r="M4" s="1451"/>
      <c r="N4" s="1451"/>
      <c r="O4" s="1451"/>
      <c r="P4" s="1451"/>
      <c r="Q4" s="1451"/>
      <c r="R4" s="1451"/>
      <c r="S4" s="1451"/>
      <c r="T4" s="1451"/>
      <c r="U4" s="1451"/>
      <c r="V4" s="1451"/>
      <c r="W4" s="1451"/>
    </row>
    <row r="5" spans="1:255" ht="15" x14ac:dyDescent="0.25">
      <c r="V5" s="1460" t="s">
        <v>600</v>
      </c>
      <c r="W5" s="1460"/>
    </row>
    <row r="6" spans="1:255" x14ac:dyDescent="0.2">
      <c r="A6" s="1000" t="s">
        <v>463</v>
      </c>
      <c r="B6" s="1000"/>
      <c r="C6" s="1000"/>
    </row>
    <row r="7" spans="1:255" ht="18.75" customHeight="1" x14ac:dyDescent="0.2">
      <c r="A7" s="1455" t="s">
        <v>2</v>
      </c>
      <c r="B7" s="1455" t="s">
        <v>116</v>
      </c>
      <c r="C7" s="1456" t="s">
        <v>26</v>
      </c>
      <c r="D7" s="1457"/>
      <c r="E7" s="1457"/>
      <c r="F7" s="1457"/>
      <c r="G7" s="1457"/>
      <c r="H7" s="1457"/>
      <c r="I7" s="1457"/>
      <c r="J7" s="1457"/>
      <c r="K7" s="1458"/>
      <c r="L7" s="1456" t="s">
        <v>27</v>
      </c>
      <c r="M7" s="1457"/>
      <c r="N7" s="1457"/>
      <c r="O7" s="1457"/>
      <c r="P7" s="1457"/>
      <c r="Q7" s="1457"/>
      <c r="R7" s="1457"/>
      <c r="S7" s="1457"/>
      <c r="T7" s="1458"/>
      <c r="U7" s="1455" t="s">
        <v>157</v>
      </c>
      <c r="V7" s="1455"/>
      <c r="W7" s="1455"/>
      <c r="Y7" s="101"/>
      <c r="Z7" s="101"/>
      <c r="AA7" s="101"/>
      <c r="AB7" s="101"/>
      <c r="AC7" s="102"/>
      <c r="AD7" s="103"/>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row>
    <row r="8" spans="1:255" ht="18.75" customHeight="1" x14ac:dyDescent="0.2">
      <c r="A8" s="1455"/>
      <c r="B8" s="1455"/>
      <c r="C8" s="1448" t="s">
        <v>190</v>
      </c>
      <c r="D8" s="1449"/>
      <c r="E8" s="1450"/>
      <c r="F8" s="1448" t="s">
        <v>191</v>
      </c>
      <c r="G8" s="1449"/>
      <c r="H8" s="1450"/>
      <c r="I8" s="1448" t="s">
        <v>18</v>
      </c>
      <c r="J8" s="1449"/>
      <c r="K8" s="1450"/>
      <c r="L8" s="1448" t="s">
        <v>190</v>
      </c>
      <c r="M8" s="1449"/>
      <c r="N8" s="1450"/>
      <c r="O8" s="1448" t="s">
        <v>191</v>
      </c>
      <c r="P8" s="1449"/>
      <c r="Q8" s="1450"/>
      <c r="R8" s="1448" t="s">
        <v>18</v>
      </c>
      <c r="S8" s="1449"/>
      <c r="T8" s="1450"/>
      <c r="U8" s="1455"/>
      <c r="V8" s="1455"/>
      <c r="W8" s="1455"/>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c r="IS8" s="101"/>
      <c r="IT8" s="101"/>
      <c r="IU8" s="101"/>
    </row>
    <row r="9" spans="1:255" ht="18.75" customHeight="1" x14ac:dyDescent="0.2">
      <c r="A9" s="276"/>
      <c r="B9" s="276"/>
      <c r="C9" s="277" t="s">
        <v>283</v>
      </c>
      <c r="D9" s="278" t="s">
        <v>44</v>
      </c>
      <c r="E9" s="279" t="s">
        <v>45</v>
      </c>
      <c r="F9" s="277" t="s">
        <v>283</v>
      </c>
      <c r="G9" s="278" t="s">
        <v>44</v>
      </c>
      <c r="H9" s="279" t="s">
        <v>45</v>
      </c>
      <c r="I9" s="277" t="s">
        <v>283</v>
      </c>
      <c r="J9" s="278" t="s">
        <v>44</v>
      </c>
      <c r="K9" s="279" t="s">
        <v>45</v>
      </c>
      <c r="L9" s="277" t="s">
        <v>283</v>
      </c>
      <c r="M9" s="278" t="s">
        <v>44</v>
      </c>
      <c r="N9" s="279" t="s">
        <v>45</v>
      </c>
      <c r="O9" s="277" t="s">
        <v>283</v>
      </c>
      <c r="P9" s="278" t="s">
        <v>44</v>
      </c>
      <c r="Q9" s="279" t="s">
        <v>45</v>
      </c>
      <c r="R9" s="277" t="s">
        <v>283</v>
      </c>
      <c r="S9" s="278" t="s">
        <v>44</v>
      </c>
      <c r="T9" s="279" t="s">
        <v>45</v>
      </c>
      <c r="U9" s="276" t="s">
        <v>283</v>
      </c>
      <c r="V9" s="276" t="s">
        <v>44</v>
      </c>
      <c r="W9" s="276" t="s">
        <v>45</v>
      </c>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row>
    <row r="10" spans="1:255" ht="18.75" customHeight="1" x14ac:dyDescent="0.2">
      <c r="A10" s="276">
        <v>1</v>
      </c>
      <c r="B10" s="276">
        <v>2</v>
      </c>
      <c r="C10" s="276">
        <v>3</v>
      </c>
      <c r="D10" s="276">
        <v>4</v>
      </c>
      <c r="E10" s="276">
        <v>5</v>
      </c>
      <c r="F10" s="276">
        <v>6</v>
      </c>
      <c r="G10" s="276">
        <v>7</v>
      </c>
      <c r="H10" s="276">
        <v>8</v>
      </c>
      <c r="I10" s="276">
        <v>9</v>
      </c>
      <c r="J10" s="276">
        <v>10</v>
      </c>
      <c r="K10" s="276">
        <v>11</v>
      </c>
      <c r="L10" s="276">
        <v>12</v>
      </c>
      <c r="M10" s="276">
        <v>13</v>
      </c>
      <c r="N10" s="276">
        <v>14</v>
      </c>
      <c r="O10" s="276">
        <v>15</v>
      </c>
      <c r="P10" s="276">
        <v>16</v>
      </c>
      <c r="Q10" s="276">
        <v>17</v>
      </c>
      <c r="R10" s="276">
        <v>18</v>
      </c>
      <c r="S10" s="276">
        <v>19</v>
      </c>
      <c r="T10" s="276">
        <v>20</v>
      </c>
      <c r="U10" s="276">
        <v>21</v>
      </c>
      <c r="V10" s="276">
        <v>22</v>
      </c>
      <c r="W10" s="276">
        <v>23</v>
      </c>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c r="IL10" s="104"/>
      <c r="IM10" s="104"/>
      <c r="IN10" s="104"/>
      <c r="IO10" s="104"/>
      <c r="IP10" s="104"/>
      <c r="IQ10" s="104"/>
      <c r="IR10" s="104"/>
      <c r="IS10" s="104"/>
      <c r="IT10" s="104"/>
      <c r="IU10" s="104"/>
    </row>
    <row r="11" spans="1:255" ht="26.25" customHeight="1" x14ac:dyDescent="0.2">
      <c r="A11" s="1452" t="s">
        <v>273</v>
      </c>
      <c r="B11" s="1453"/>
      <c r="C11" s="517"/>
      <c r="D11" s="517"/>
      <c r="E11" s="517"/>
      <c r="F11" s="517"/>
      <c r="G11" s="517"/>
      <c r="H11" s="517"/>
      <c r="I11" s="517"/>
      <c r="J11" s="517"/>
      <c r="K11" s="517"/>
      <c r="L11" s="517"/>
      <c r="M11" s="517"/>
      <c r="N11" s="517"/>
      <c r="O11" s="517"/>
      <c r="P11" s="517"/>
      <c r="Q11" s="517"/>
      <c r="R11" s="517"/>
      <c r="S11" s="517"/>
      <c r="T11" s="517"/>
      <c r="U11" s="518"/>
      <c r="V11" s="519"/>
      <c r="W11" s="519"/>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c r="IR11" s="104"/>
      <c r="IS11" s="104"/>
      <c r="IT11" s="104"/>
      <c r="IU11" s="104"/>
    </row>
    <row r="12" spans="1:255" ht="39.950000000000003" customHeight="1" x14ac:dyDescent="0.2">
      <c r="A12" s="280">
        <v>1</v>
      </c>
      <c r="B12" s="280" t="s">
        <v>138</v>
      </c>
      <c r="C12" s="521">
        <v>226.15</v>
      </c>
      <c r="D12" s="521">
        <v>75.59</v>
      </c>
      <c r="E12" s="521">
        <v>9.59</v>
      </c>
      <c r="F12" s="521">
        <v>0</v>
      </c>
      <c r="G12" s="521">
        <v>0</v>
      </c>
      <c r="H12" s="521">
        <v>0</v>
      </c>
      <c r="I12" s="521">
        <f t="shared" ref="I12:K19" si="0">C12+F12</f>
        <v>226.15</v>
      </c>
      <c r="J12" s="521">
        <f t="shared" si="0"/>
        <v>75.59</v>
      </c>
      <c r="K12" s="521">
        <f t="shared" si="0"/>
        <v>9.59</v>
      </c>
      <c r="L12" s="521">
        <v>241.49</v>
      </c>
      <c r="M12" s="521">
        <v>80.72</v>
      </c>
      <c r="N12" s="521">
        <v>10.24</v>
      </c>
      <c r="O12" s="521">
        <v>0</v>
      </c>
      <c r="P12" s="521">
        <v>0</v>
      </c>
      <c r="Q12" s="521">
        <v>0</v>
      </c>
      <c r="R12" s="521">
        <f t="shared" ref="R12:R19" si="1">L12+O12</f>
        <v>241.49</v>
      </c>
      <c r="S12" s="521">
        <f t="shared" ref="S12:S19" si="2">M12+P12</f>
        <v>80.72</v>
      </c>
      <c r="T12" s="521">
        <f t="shared" ref="T12:T19" si="3">N12+Q12</f>
        <v>10.24</v>
      </c>
      <c r="U12" s="521">
        <f>I12+R12</f>
        <v>467.64</v>
      </c>
      <c r="V12" s="521">
        <f>J12+S12</f>
        <v>156.31</v>
      </c>
      <c r="W12" s="521">
        <f>K12+T12</f>
        <v>19.829999999999998</v>
      </c>
      <c r="X12" s="290"/>
    </row>
    <row r="13" spans="1:255" ht="39.950000000000003" customHeight="1" x14ac:dyDescent="0.2">
      <c r="A13" s="280">
        <v>2</v>
      </c>
      <c r="B13" s="276" t="s">
        <v>587</v>
      </c>
      <c r="C13" s="521">
        <v>3012.29</v>
      </c>
      <c r="D13" s="521">
        <v>1006.86</v>
      </c>
      <c r="E13" s="521">
        <v>127.72</v>
      </c>
      <c r="F13" s="521">
        <v>970.59</v>
      </c>
      <c r="G13" s="521">
        <v>324.42</v>
      </c>
      <c r="H13" s="521">
        <v>41.15</v>
      </c>
      <c r="I13" s="521">
        <f>C13+F13-0.01</f>
        <v>3982.87</v>
      </c>
      <c r="J13" s="521">
        <f t="shared" si="0"/>
        <v>1331.28</v>
      </c>
      <c r="K13" s="521">
        <f>E13+H13+0.01</f>
        <v>168.88</v>
      </c>
      <c r="L13" s="521">
        <v>3207.06</v>
      </c>
      <c r="M13" s="521">
        <v>1071.96</v>
      </c>
      <c r="N13" s="521">
        <v>135.97999999999999</v>
      </c>
      <c r="O13" s="521">
        <v>809.21</v>
      </c>
      <c r="P13" s="521">
        <v>270.48</v>
      </c>
      <c r="Q13" s="521">
        <v>34.31</v>
      </c>
      <c r="R13" s="521">
        <f t="shared" si="1"/>
        <v>4016.27</v>
      </c>
      <c r="S13" s="521">
        <f t="shared" si="2"/>
        <v>1342.44</v>
      </c>
      <c r="T13" s="521">
        <f t="shared" si="3"/>
        <v>170.29</v>
      </c>
      <c r="U13" s="521">
        <f t="shared" ref="U13:W22" si="4">I13+R13</f>
        <v>7999.1399999999994</v>
      </c>
      <c r="V13" s="521">
        <f t="shared" si="4"/>
        <v>2673.7200000000003</v>
      </c>
      <c r="W13" s="521">
        <f t="shared" si="4"/>
        <v>339.16999999999996</v>
      </c>
      <c r="X13" s="290"/>
    </row>
    <row r="14" spans="1:255" ht="39.950000000000003" customHeight="1" x14ac:dyDescent="0.2">
      <c r="A14" s="280">
        <v>3</v>
      </c>
      <c r="B14" s="276" t="s">
        <v>142</v>
      </c>
      <c r="C14" s="521">
        <v>1409.57</v>
      </c>
      <c r="D14" s="521">
        <v>471.15</v>
      </c>
      <c r="E14" s="521">
        <v>59.77</v>
      </c>
      <c r="F14" s="521">
        <v>1723.05</v>
      </c>
      <c r="G14" s="521">
        <v>575.92999999999995</v>
      </c>
      <c r="H14" s="521">
        <v>73.06</v>
      </c>
      <c r="I14" s="521">
        <f t="shared" si="0"/>
        <v>3132.62</v>
      </c>
      <c r="J14" s="521">
        <f t="shared" si="0"/>
        <v>1047.08</v>
      </c>
      <c r="K14" s="521">
        <f t="shared" si="0"/>
        <v>132.83000000000001</v>
      </c>
      <c r="L14" s="521">
        <v>747.12</v>
      </c>
      <c r="M14" s="521">
        <v>249.72</v>
      </c>
      <c r="N14" s="521">
        <v>31.68</v>
      </c>
      <c r="O14" s="521">
        <v>913.14</v>
      </c>
      <c r="P14" s="521">
        <v>305.22000000000003</v>
      </c>
      <c r="Q14" s="521">
        <v>38.72</v>
      </c>
      <c r="R14" s="521">
        <f t="shared" si="1"/>
        <v>1660.26</v>
      </c>
      <c r="S14" s="521">
        <f t="shared" si="2"/>
        <v>554.94000000000005</v>
      </c>
      <c r="T14" s="521">
        <f t="shared" si="3"/>
        <v>70.400000000000006</v>
      </c>
      <c r="U14" s="521">
        <f t="shared" si="4"/>
        <v>4792.88</v>
      </c>
      <c r="V14" s="521">
        <f t="shared" si="4"/>
        <v>1602.02</v>
      </c>
      <c r="W14" s="521">
        <f t="shared" si="4"/>
        <v>203.23000000000002</v>
      </c>
      <c r="X14" s="290"/>
    </row>
    <row r="15" spans="1:255" ht="39.950000000000003" customHeight="1" x14ac:dyDescent="0.2">
      <c r="A15" s="280">
        <v>4</v>
      </c>
      <c r="B15" s="276" t="s">
        <v>140</v>
      </c>
      <c r="C15" s="521">
        <v>114.95</v>
      </c>
      <c r="D15" s="521">
        <v>38.42</v>
      </c>
      <c r="E15" s="521">
        <v>4.87</v>
      </c>
      <c r="F15" s="521">
        <v>0</v>
      </c>
      <c r="G15" s="521">
        <v>0</v>
      </c>
      <c r="H15" s="521">
        <v>0</v>
      </c>
      <c r="I15" s="521">
        <f t="shared" si="0"/>
        <v>114.95</v>
      </c>
      <c r="J15" s="521">
        <f t="shared" si="0"/>
        <v>38.42</v>
      </c>
      <c r="K15" s="521">
        <f t="shared" si="0"/>
        <v>4.87</v>
      </c>
      <c r="L15" s="521">
        <v>122.75</v>
      </c>
      <c r="M15" s="521">
        <v>41.03</v>
      </c>
      <c r="N15" s="521">
        <v>5.2</v>
      </c>
      <c r="O15" s="521">
        <v>0</v>
      </c>
      <c r="P15" s="521">
        <v>0</v>
      </c>
      <c r="Q15" s="521">
        <v>0</v>
      </c>
      <c r="R15" s="521">
        <f t="shared" si="1"/>
        <v>122.75</v>
      </c>
      <c r="S15" s="521">
        <f t="shared" si="2"/>
        <v>41.03</v>
      </c>
      <c r="T15" s="521">
        <f t="shared" si="3"/>
        <v>5.2</v>
      </c>
      <c r="U15" s="521">
        <f t="shared" si="4"/>
        <v>237.7</v>
      </c>
      <c r="V15" s="521">
        <f t="shared" si="4"/>
        <v>79.45</v>
      </c>
      <c r="W15" s="521">
        <f t="shared" si="4"/>
        <v>10.07</v>
      </c>
      <c r="X15" s="290"/>
    </row>
    <row r="16" spans="1:255" ht="39.950000000000003" customHeight="1" x14ac:dyDescent="0.2">
      <c r="A16" s="280">
        <v>5</v>
      </c>
      <c r="B16" s="280" t="s">
        <v>141</v>
      </c>
      <c r="C16" s="521">
        <v>85.73</v>
      </c>
      <c r="D16" s="521">
        <v>28.66</v>
      </c>
      <c r="E16" s="521">
        <v>3.64</v>
      </c>
      <c r="F16" s="521">
        <v>0</v>
      </c>
      <c r="G16" s="521">
        <v>0</v>
      </c>
      <c r="H16" s="521">
        <v>0</v>
      </c>
      <c r="I16" s="521">
        <f t="shared" si="0"/>
        <v>85.73</v>
      </c>
      <c r="J16" s="521">
        <f t="shared" si="0"/>
        <v>28.66</v>
      </c>
      <c r="K16" s="521">
        <f t="shared" si="0"/>
        <v>3.64</v>
      </c>
      <c r="L16" s="521">
        <v>79.56</v>
      </c>
      <c r="M16" s="521">
        <v>26.59</v>
      </c>
      <c r="N16" s="521">
        <v>3.37</v>
      </c>
      <c r="O16" s="521">
        <v>0</v>
      </c>
      <c r="P16" s="521">
        <v>0</v>
      </c>
      <c r="Q16" s="521">
        <v>0</v>
      </c>
      <c r="R16" s="521">
        <f t="shared" si="1"/>
        <v>79.56</v>
      </c>
      <c r="S16" s="521">
        <f t="shared" si="2"/>
        <v>26.59</v>
      </c>
      <c r="T16" s="521">
        <f t="shared" si="3"/>
        <v>3.37</v>
      </c>
      <c r="U16" s="521">
        <f t="shared" si="4"/>
        <v>165.29000000000002</v>
      </c>
      <c r="V16" s="521">
        <f t="shared" si="4"/>
        <v>55.25</v>
      </c>
      <c r="W16" s="521">
        <f t="shared" si="4"/>
        <v>7.01</v>
      </c>
      <c r="X16" s="290"/>
    </row>
    <row r="17" spans="1:24" ht="39.950000000000003" customHeight="1" x14ac:dyDescent="0.2">
      <c r="A17" s="280">
        <v>6</v>
      </c>
      <c r="B17" s="856" t="s">
        <v>991</v>
      </c>
      <c r="C17" s="521">
        <v>0</v>
      </c>
      <c r="D17" s="521">
        <v>0</v>
      </c>
      <c r="E17" s="521">
        <v>0</v>
      </c>
      <c r="F17" s="521">
        <v>156.62</v>
      </c>
      <c r="G17" s="521">
        <v>52.35</v>
      </c>
      <c r="H17" s="521">
        <v>6.64</v>
      </c>
      <c r="I17" s="521">
        <f t="shared" si="0"/>
        <v>156.62</v>
      </c>
      <c r="J17" s="521">
        <f t="shared" si="0"/>
        <v>52.35</v>
      </c>
      <c r="K17" s="521">
        <f t="shared" si="0"/>
        <v>6.64</v>
      </c>
      <c r="L17" s="521">
        <v>0</v>
      </c>
      <c r="M17" s="521">
        <v>0</v>
      </c>
      <c r="N17" s="521">
        <v>0</v>
      </c>
      <c r="O17" s="521">
        <v>83.01</v>
      </c>
      <c r="P17" s="521">
        <v>27.75</v>
      </c>
      <c r="Q17" s="521">
        <v>3.52</v>
      </c>
      <c r="R17" s="521">
        <f t="shared" si="1"/>
        <v>83.01</v>
      </c>
      <c r="S17" s="521">
        <f t="shared" si="2"/>
        <v>27.75</v>
      </c>
      <c r="T17" s="521">
        <f t="shared" si="3"/>
        <v>3.52</v>
      </c>
      <c r="U17" s="521">
        <f t="shared" si="4"/>
        <v>239.63</v>
      </c>
      <c r="V17" s="521">
        <f t="shared" si="4"/>
        <v>80.099999999999994</v>
      </c>
      <c r="W17" s="521">
        <f t="shared" si="4"/>
        <v>10.16</v>
      </c>
      <c r="X17" s="290"/>
    </row>
    <row r="18" spans="1:24" ht="39.950000000000003" customHeight="1" x14ac:dyDescent="0.2">
      <c r="A18" s="280">
        <v>7</v>
      </c>
      <c r="B18" s="856" t="s">
        <v>992</v>
      </c>
      <c r="C18" s="521">
        <v>0</v>
      </c>
      <c r="D18" s="521">
        <v>0</v>
      </c>
      <c r="E18" s="521">
        <v>0</v>
      </c>
      <c r="F18" s="521">
        <v>313.24</v>
      </c>
      <c r="G18" s="521">
        <v>104.7</v>
      </c>
      <c r="H18" s="521">
        <v>13.28</v>
      </c>
      <c r="I18" s="521">
        <f t="shared" si="0"/>
        <v>313.24</v>
      </c>
      <c r="J18" s="521">
        <f t="shared" si="0"/>
        <v>104.7</v>
      </c>
      <c r="K18" s="521">
        <f t="shared" si="0"/>
        <v>13.28</v>
      </c>
      <c r="L18" s="521">
        <v>0</v>
      </c>
      <c r="M18" s="521">
        <v>0</v>
      </c>
      <c r="N18" s="521">
        <v>0</v>
      </c>
      <c r="O18" s="521">
        <v>166.03</v>
      </c>
      <c r="P18" s="521">
        <v>55.49</v>
      </c>
      <c r="Q18" s="521">
        <v>7.04</v>
      </c>
      <c r="R18" s="521">
        <f t="shared" si="1"/>
        <v>166.03</v>
      </c>
      <c r="S18" s="521">
        <f t="shared" si="2"/>
        <v>55.49</v>
      </c>
      <c r="T18" s="521">
        <f t="shared" si="3"/>
        <v>7.04</v>
      </c>
      <c r="U18" s="521">
        <f t="shared" si="4"/>
        <v>479.27</v>
      </c>
      <c r="V18" s="521">
        <f t="shared" si="4"/>
        <v>160.19</v>
      </c>
      <c r="W18" s="521">
        <f t="shared" si="4"/>
        <v>20.32</v>
      </c>
      <c r="X18" s="290"/>
    </row>
    <row r="19" spans="1:24" ht="39.950000000000003" customHeight="1" x14ac:dyDescent="0.2">
      <c r="A19" s="280">
        <v>8</v>
      </c>
      <c r="B19" s="280" t="s">
        <v>440</v>
      </c>
      <c r="C19" s="521">
        <v>0</v>
      </c>
      <c r="D19" s="521">
        <v>0</v>
      </c>
      <c r="E19" s="521">
        <v>0</v>
      </c>
      <c r="F19" s="521">
        <v>14.53</v>
      </c>
      <c r="G19" s="521">
        <v>4.8600000000000003</v>
      </c>
      <c r="H19" s="521">
        <v>0.62</v>
      </c>
      <c r="I19" s="521">
        <f t="shared" si="0"/>
        <v>14.53</v>
      </c>
      <c r="J19" s="521">
        <f t="shared" si="0"/>
        <v>4.8600000000000003</v>
      </c>
      <c r="K19" s="521">
        <f t="shared" si="0"/>
        <v>0.62</v>
      </c>
      <c r="L19" s="521">
        <v>0</v>
      </c>
      <c r="M19" s="521">
        <v>0</v>
      </c>
      <c r="N19" s="521">
        <v>0</v>
      </c>
      <c r="O19" s="521">
        <v>14.53</v>
      </c>
      <c r="P19" s="521">
        <v>4.8600000000000003</v>
      </c>
      <c r="Q19" s="521">
        <v>0.62</v>
      </c>
      <c r="R19" s="521">
        <f t="shared" si="1"/>
        <v>14.53</v>
      </c>
      <c r="S19" s="521">
        <f t="shared" si="2"/>
        <v>4.8600000000000003</v>
      </c>
      <c r="T19" s="521">
        <f t="shared" si="3"/>
        <v>0.62</v>
      </c>
      <c r="U19" s="521">
        <f t="shared" si="4"/>
        <v>29.06</v>
      </c>
      <c r="V19" s="521">
        <f t="shared" si="4"/>
        <v>9.7200000000000006</v>
      </c>
      <c r="W19" s="521">
        <f t="shared" si="4"/>
        <v>1.24</v>
      </c>
      <c r="X19" s="290"/>
    </row>
    <row r="20" spans="1:24" ht="28.5" customHeight="1" x14ac:dyDescent="0.2">
      <c r="A20" s="1452" t="s">
        <v>274</v>
      </c>
      <c r="B20" s="1453"/>
      <c r="C20" s="520"/>
      <c r="D20" s="520"/>
      <c r="E20" s="520"/>
      <c r="F20" s="520"/>
      <c r="G20" s="520"/>
      <c r="H20" s="520"/>
      <c r="I20" s="521"/>
      <c r="J20" s="521"/>
      <c r="K20" s="521"/>
      <c r="L20" s="520"/>
      <c r="M20" s="520"/>
      <c r="N20" s="520"/>
      <c r="O20" s="520"/>
      <c r="P20" s="520"/>
      <c r="Q20" s="520"/>
      <c r="R20" s="521"/>
      <c r="S20" s="521"/>
      <c r="T20" s="521"/>
      <c r="U20" s="521"/>
      <c r="V20" s="521"/>
      <c r="W20" s="521"/>
      <c r="X20" s="290"/>
    </row>
    <row r="21" spans="1:24" ht="39.950000000000003" customHeight="1" x14ac:dyDescent="0.2">
      <c r="A21" s="280">
        <v>9</v>
      </c>
      <c r="B21" s="280" t="s">
        <v>143</v>
      </c>
      <c r="C21" s="521">
        <v>0</v>
      </c>
      <c r="D21" s="521">
        <v>0</v>
      </c>
      <c r="E21" s="521">
        <v>0</v>
      </c>
      <c r="F21" s="521">
        <v>0</v>
      </c>
      <c r="G21" s="521">
        <v>0</v>
      </c>
      <c r="H21" s="521">
        <v>0</v>
      </c>
      <c r="I21" s="521">
        <f t="shared" ref="I21:K22" si="5">C21+F21</f>
        <v>0</v>
      </c>
      <c r="J21" s="521">
        <f t="shared" si="5"/>
        <v>0</v>
      </c>
      <c r="K21" s="521">
        <f t="shared" si="5"/>
        <v>0</v>
      </c>
      <c r="L21" s="521">
        <v>0</v>
      </c>
      <c r="M21" s="521">
        <v>0</v>
      </c>
      <c r="N21" s="521">
        <v>0</v>
      </c>
      <c r="O21" s="521">
        <v>0</v>
      </c>
      <c r="P21" s="521">
        <v>0</v>
      </c>
      <c r="Q21" s="521">
        <v>0</v>
      </c>
      <c r="R21" s="521">
        <f t="shared" ref="R21:T22" si="6">L21+O21</f>
        <v>0</v>
      </c>
      <c r="S21" s="521">
        <f t="shared" si="6"/>
        <v>0</v>
      </c>
      <c r="T21" s="521">
        <f t="shared" si="6"/>
        <v>0</v>
      </c>
      <c r="U21" s="521">
        <f t="shared" si="4"/>
        <v>0</v>
      </c>
      <c r="V21" s="521">
        <f t="shared" si="4"/>
        <v>0</v>
      </c>
      <c r="W21" s="521">
        <f t="shared" si="4"/>
        <v>0</v>
      </c>
      <c r="X21" s="290"/>
    </row>
    <row r="22" spans="1:24" ht="39.950000000000003" customHeight="1" x14ac:dyDescent="0.2">
      <c r="A22" s="280">
        <v>10</v>
      </c>
      <c r="B22" s="280" t="s">
        <v>144</v>
      </c>
      <c r="C22" s="521">
        <v>0</v>
      </c>
      <c r="D22" s="521">
        <v>0</v>
      </c>
      <c r="E22" s="521">
        <v>0</v>
      </c>
      <c r="F22" s="521">
        <v>0</v>
      </c>
      <c r="G22" s="521">
        <v>0</v>
      </c>
      <c r="H22" s="521">
        <v>0</v>
      </c>
      <c r="I22" s="521">
        <f t="shared" si="5"/>
        <v>0</v>
      </c>
      <c r="J22" s="521">
        <f t="shared" si="5"/>
        <v>0</v>
      </c>
      <c r="K22" s="521">
        <f t="shared" si="5"/>
        <v>0</v>
      </c>
      <c r="L22" s="521">
        <v>90.62</v>
      </c>
      <c r="M22" s="521">
        <v>30.29</v>
      </c>
      <c r="N22" s="521">
        <v>3.84</v>
      </c>
      <c r="O22" s="521">
        <v>0</v>
      </c>
      <c r="P22" s="521">
        <v>0</v>
      </c>
      <c r="Q22" s="521">
        <v>0</v>
      </c>
      <c r="R22" s="521">
        <f t="shared" si="6"/>
        <v>90.62</v>
      </c>
      <c r="S22" s="521">
        <f t="shared" si="6"/>
        <v>30.29</v>
      </c>
      <c r="T22" s="521">
        <f t="shared" si="6"/>
        <v>3.84</v>
      </c>
      <c r="U22" s="521">
        <f t="shared" si="4"/>
        <v>90.62</v>
      </c>
      <c r="V22" s="521">
        <f t="shared" si="4"/>
        <v>30.29</v>
      </c>
      <c r="W22" s="521">
        <f t="shared" si="4"/>
        <v>3.84</v>
      </c>
      <c r="X22" s="290"/>
    </row>
    <row r="23" spans="1:24" s="104" customFormat="1" ht="39.950000000000003" customHeight="1" x14ac:dyDescent="0.2">
      <c r="A23" s="280" t="s">
        <v>18</v>
      </c>
      <c r="B23" s="280"/>
      <c r="C23" s="522">
        <f>(C12+C13+C14+C15+C16+C17+C18+C19+C21+C22)</f>
        <v>4848.6899999999996</v>
      </c>
      <c r="D23" s="522">
        <f t="shared" ref="D23:E23" si="7">D12+D13+D14+D15+D16+D17+D18+D19+D21+D22</f>
        <v>1620.68</v>
      </c>
      <c r="E23" s="522">
        <f t="shared" si="7"/>
        <v>205.59</v>
      </c>
      <c r="F23" s="522">
        <f>F12+F13+F14+F15+F16+F17+F18+F19+F21+F22</f>
        <v>3178.03</v>
      </c>
      <c r="G23" s="522">
        <f>G12+G13+G14+G15+G16+G17+G18+G19+G21+G22</f>
        <v>1062.2599999999998</v>
      </c>
      <c r="H23" s="522">
        <f>H12+H13+H14+H15+H16+H17+H18+H19+H21+H22</f>
        <v>134.75</v>
      </c>
      <c r="I23" s="522">
        <f t="shared" ref="I23" si="8">I12+I13+I14+I15+I16+I17+I18+I19+I21+I22</f>
        <v>8026.7099999999982</v>
      </c>
      <c r="J23" s="522">
        <f>J12+J13+J14+J15+J16+J17+J18+J19+J21+J22</f>
        <v>2682.9399999999996</v>
      </c>
      <c r="K23" s="522">
        <f t="shared" ref="K23:Q23" si="9">K12+K13+K14+K15+K16+K17+K18+K19+K21+K22</f>
        <v>340.34999999999997</v>
      </c>
      <c r="L23" s="522">
        <f t="shared" si="9"/>
        <v>4488.6000000000004</v>
      </c>
      <c r="M23" s="522">
        <f t="shared" si="9"/>
        <v>1500.31</v>
      </c>
      <c r="N23" s="522">
        <f t="shared" si="9"/>
        <v>190.31</v>
      </c>
      <c r="O23" s="522">
        <f t="shared" si="9"/>
        <v>1985.9199999999998</v>
      </c>
      <c r="P23" s="522">
        <f t="shared" si="9"/>
        <v>663.80000000000007</v>
      </c>
      <c r="Q23" s="522">
        <f t="shared" si="9"/>
        <v>84.210000000000008</v>
      </c>
      <c r="R23" s="522">
        <f t="shared" ref="R23" si="10">R12+R13+R14+R15+R16+R17+R18+R19+R21+R22</f>
        <v>6474.52</v>
      </c>
      <c r="S23" s="522">
        <f t="shared" ref="S23" si="11">S12+S13+S14+S15+S16+S17+S18+S19+S21+S22</f>
        <v>2164.11</v>
      </c>
      <c r="T23" s="522">
        <f t="shared" ref="T23" si="12">T12+T13+T14+T15+T16+T17+T18+T19+T21+T22</f>
        <v>274.52</v>
      </c>
      <c r="U23" s="522">
        <f t="shared" ref="U23" si="13">U12+U13+U14+U15+U16+U17+U18+U19+U21+U22</f>
        <v>14501.230000000001</v>
      </c>
      <c r="V23" s="522">
        <f t="shared" ref="V23" si="14">V12+V13+V14+V15+V16+V17+V18+V19+V21+V22</f>
        <v>4847.05</v>
      </c>
      <c r="W23" s="522">
        <f t="shared" ref="W23" si="15">W12+W13+W14+W15+W16+W17+W18+W19+W21+W22</f>
        <v>614.87000000000012</v>
      </c>
      <c r="X23" s="290"/>
    </row>
    <row r="24" spans="1:24" x14ac:dyDescent="0.2">
      <c r="A24" s="105"/>
      <c r="B24" s="105"/>
    </row>
    <row r="28" spans="1:24" x14ac:dyDescent="0.2">
      <c r="A28" s="1454"/>
      <c r="B28" s="1454"/>
      <c r="C28" s="1454"/>
      <c r="D28" s="1454"/>
      <c r="E28" s="1454"/>
      <c r="F28" s="1454"/>
      <c r="G28" s="1454"/>
      <c r="H28" s="1454"/>
      <c r="I28" s="1454"/>
      <c r="J28" s="106"/>
      <c r="K28" s="106"/>
      <c r="L28" s="106"/>
      <c r="M28" s="106"/>
      <c r="N28" s="106"/>
      <c r="O28" s="1454"/>
      <c r="P28" s="1454"/>
      <c r="Q28" s="1454"/>
      <c r="R28" s="1454"/>
      <c r="S28" s="1454"/>
      <c r="T28" s="1454"/>
      <c r="U28" s="1454"/>
    </row>
    <row r="30" spans="1:24" ht="15.75" x14ac:dyDescent="0.25">
      <c r="A30" s="64" t="s">
        <v>11</v>
      </c>
      <c r="B30" s="64"/>
      <c r="C30" s="64"/>
      <c r="D30" s="64"/>
      <c r="E30" s="64"/>
      <c r="F30" s="64"/>
      <c r="G30" s="64"/>
      <c r="H30" s="64"/>
      <c r="I30" s="64"/>
      <c r="J30" s="48"/>
      <c r="K30" s="85"/>
      <c r="L30" s="524"/>
      <c r="M30" s="524"/>
      <c r="N30" s="525"/>
      <c r="O30" s="524"/>
      <c r="P30" s="524"/>
      <c r="Q30" s="524"/>
      <c r="R30" s="523"/>
      <c r="S30" s="523"/>
      <c r="T30" s="523"/>
      <c r="U30" s="1308" t="s">
        <v>12</v>
      </c>
      <c r="V30" s="1308"/>
      <c r="W30" s="524"/>
    </row>
    <row r="31" spans="1:24" ht="15.75" customHeight="1" x14ac:dyDescent="0.2">
      <c r="A31" s="1024" t="s">
        <v>13</v>
      </c>
      <c r="B31" s="1024"/>
      <c r="C31" s="1024"/>
      <c r="D31" s="1024"/>
      <c r="E31" s="1024"/>
      <c r="F31" s="1024"/>
      <c r="G31" s="1024"/>
      <c r="H31" s="1024"/>
      <c r="I31" s="1024"/>
      <c r="J31" s="1024"/>
      <c r="K31" s="1024"/>
      <c r="L31" s="1024"/>
      <c r="M31" s="1024"/>
      <c r="N31" s="1024"/>
      <c r="O31" s="1024"/>
      <c r="P31" s="1024"/>
      <c r="Q31" s="1024"/>
      <c r="R31" s="1024"/>
      <c r="S31" s="1024"/>
      <c r="T31" s="1024"/>
      <c r="U31" s="1024"/>
      <c r="V31" s="1024"/>
      <c r="W31" s="1024"/>
    </row>
    <row r="32" spans="1:24" ht="15.75" customHeight="1" x14ac:dyDescent="0.2">
      <c r="A32" s="1024" t="s">
        <v>14</v>
      </c>
      <c r="B32" s="1024"/>
      <c r="C32" s="1024"/>
      <c r="D32" s="1024"/>
      <c r="E32" s="1024"/>
      <c r="F32" s="1024"/>
      <c r="G32" s="1024"/>
      <c r="H32" s="1024"/>
      <c r="I32" s="1024"/>
      <c r="J32" s="1024"/>
      <c r="K32" s="1024"/>
      <c r="L32" s="1024"/>
      <c r="M32" s="1024"/>
      <c r="N32" s="1024"/>
      <c r="O32" s="1024"/>
      <c r="P32" s="1024"/>
      <c r="Q32" s="1024"/>
      <c r="R32" s="1024"/>
      <c r="S32" s="1024"/>
      <c r="T32" s="1024"/>
      <c r="U32" s="1024"/>
      <c r="V32" s="1024"/>
      <c r="W32" s="1024"/>
    </row>
    <row r="33" spans="1:23" ht="15.75" x14ac:dyDescent="0.25">
      <c r="A33" s="525"/>
      <c r="B33" s="525"/>
      <c r="C33" s="525"/>
      <c r="D33" s="525"/>
      <c r="E33" s="525"/>
      <c r="F33" s="525"/>
      <c r="G33" s="48"/>
      <c r="H33" s="48"/>
      <c r="I33" s="48"/>
      <c r="J33" s="48"/>
      <c r="K33" s="48"/>
      <c r="L33" s="524"/>
      <c r="M33" s="70"/>
      <c r="N33" s="70"/>
      <c r="O33" s="524"/>
      <c r="P33" s="524"/>
      <c r="Q33" s="524"/>
      <c r="R33" s="526"/>
      <c r="S33" s="70" t="s">
        <v>85</v>
      </c>
      <c r="T33" s="526"/>
      <c r="U33" s="526"/>
      <c r="V33" s="526"/>
      <c r="W33" s="526"/>
    </row>
  </sheetData>
  <mergeCells count="24">
    <mergeCell ref="L7:T7"/>
    <mergeCell ref="C8:E8"/>
    <mergeCell ref="V1:W1"/>
    <mergeCell ref="U7:W8"/>
    <mergeCell ref="R8:T8"/>
    <mergeCell ref="I8:K8"/>
    <mergeCell ref="L8:N8"/>
    <mergeCell ref="V5:W5"/>
    <mergeCell ref="A31:W31"/>
    <mergeCell ref="A32:W32"/>
    <mergeCell ref="F8:H8"/>
    <mergeCell ref="O8:Q8"/>
    <mergeCell ref="A2:W2"/>
    <mergeCell ref="A3:W3"/>
    <mergeCell ref="A4:W4"/>
    <mergeCell ref="A6:C6"/>
    <mergeCell ref="U30:V30"/>
    <mergeCell ref="A11:B11"/>
    <mergeCell ref="A20:B20"/>
    <mergeCell ref="A28:I28"/>
    <mergeCell ref="O28:U28"/>
    <mergeCell ref="B7:B8"/>
    <mergeCell ref="A7:A8"/>
    <mergeCell ref="C7:K7"/>
  </mergeCells>
  <printOptions horizontalCentered="1"/>
  <pageMargins left="0.54" right="0.45" top="0.33" bottom="0" header="0.33" footer="0.23"/>
  <pageSetup paperSize="9" scale="71" orientation="landscape" r:id="rId1"/>
  <colBreaks count="1" manualBreakCount="1">
    <brk id="23"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G23"/>
  <sheetViews>
    <sheetView workbookViewId="0">
      <selection activeCell="C6" sqref="C6"/>
    </sheetView>
  </sheetViews>
  <sheetFormatPr defaultRowHeight="12.75" x14ac:dyDescent="0.2"/>
  <cols>
    <col min="1" max="1" width="9.140625" style="56"/>
    <col min="2" max="2" width="24.42578125" style="56" customWidth="1"/>
    <col min="3" max="3" width="21.85546875" style="56" bestFit="1" customWidth="1"/>
    <col min="4" max="4" width="15.28515625" style="56" bestFit="1" customWidth="1"/>
    <col min="5" max="5" width="10.85546875" style="56" customWidth="1"/>
    <col min="6" max="6" width="10.28515625" style="56" customWidth="1"/>
    <col min="7" max="7" width="42.42578125" style="56" customWidth="1"/>
    <col min="8" max="16384" width="9.140625" style="56"/>
  </cols>
  <sheetData>
    <row r="1" spans="1:7" ht="18" x14ac:dyDescent="0.25">
      <c r="A1" s="1461" t="s">
        <v>437</v>
      </c>
      <c r="B1" s="1461"/>
      <c r="C1" s="1461"/>
      <c r="D1" s="1461"/>
      <c r="E1" s="1461"/>
      <c r="F1" s="1461"/>
      <c r="G1" s="1461"/>
    </row>
    <row r="2" spans="1:7" ht="15.75" thickBot="1" x14ac:dyDescent="0.3">
      <c r="A2" s="143" t="s">
        <v>410</v>
      </c>
      <c r="B2" s="57"/>
      <c r="C2" s="57"/>
      <c r="D2" s="57"/>
      <c r="E2" s="57"/>
      <c r="F2" s="57"/>
      <c r="G2" s="57" t="s">
        <v>411</v>
      </c>
    </row>
    <row r="3" spans="1:7" ht="26.25" thickBot="1" x14ac:dyDescent="0.25">
      <c r="A3" s="144" t="s">
        <v>412</v>
      </c>
      <c r="B3" s="145" t="s">
        <v>413</v>
      </c>
      <c r="C3" s="144" t="s">
        <v>414</v>
      </c>
      <c r="D3" s="146" t="s">
        <v>415</v>
      </c>
      <c r="E3" s="147" t="s">
        <v>416</v>
      </c>
      <c r="F3" s="148" t="s">
        <v>18</v>
      </c>
      <c r="G3" s="149" t="s">
        <v>417</v>
      </c>
    </row>
    <row r="4" spans="1:7" ht="24.95" customHeight="1" x14ac:dyDescent="0.2">
      <c r="A4" s="1462">
        <v>1</v>
      </c>
      <c r="B4" s="1464" t="s">
        <v>418</v>
      </c>
      <c r="C4" s="150" t="s">
        <v>465</v>
      </c>
      <c r="D4" s="151">
        <f>AT27_Req_FG_CA_Pry!Q23</f>
        <v>0</v>
      </c>
      <c r="E4" s="152">
        <f>AT27_Req_FG_CA_Pry!R23</f>
        <v>0</v>
      </c>
      <c r="F4" s="151">
        <f>D4+E4</f>
        <v>0</v>
      </c>
      <c r="G4" s="170" t="s">
        <v>438</v>
      </c>
    </row>
    <row r="5" spans="1:7" ht="24.95" customHeight="1" x14ac:dyDescent="0.2">
      <c r="A5" s="1462"/>
      <c r="B5" s="1464"/>
      <c r="C5" s="150" t="s">
        <v>428</v>
      </c>
      <c r="D5" s="151">
        <v>0</v>
      </c>
      <c r="E5" s="152">
        <v>0</v>
      </c>
      <c r="F5" s="151">
        <f>D5+E5</f>
        <v>0</v>
      </c>
      <c r="G5" s="153"/>
    </row>
    <row r="6" spans="1:7" ht="24.95" customHeight="1" x14ac:dyDescent="0.2">
      <c r="A6" s="1463"/>
      <c r="B6" s="1465"/>
      <c r="C6" s="154" t="s">
        <v>466</v>
      </c>
      <c r="D6" s="155">
        <f>AT27A_Req_FG_CA_UPry!Q23</f>
        <v>0</v>
      </c>
      <c r="E6" s="152">
        <f>AT27A_Req_FG_CA_UPry!R23</f>
        <v>0</v>
      </c>
      <c r="F6" s="151">
        <f>D6+E6</f>
        <v>0</v>
      </c>
      <c r="G6" s="169" t="s">
        <v>439</v>
      </c>
    </row>
    <row r="7" spans="1:7" ht="24.95" customHeight="1" x14ac:dyDescent="0.2">
      <c r="A7" s="1466">
        <v>2</v>
      </c>
      <c r="B7" s="1467" t="s">
        <v>441</v>
      </c>
      <c r="C7" s="175" t="s">
        <v>442</v>
      </c>
      <c r="D7" s="155">
        <v>694.91</v>
      </c>
      <c r="E7" s="152">
        <v>231.64</v>
      </c>
      <c r="F7" s="151">
        <f>D7+E7</f>
        <v>926.55</v>
      </c>
      <c r="G7" s="1473" t="s">
        <v>443</v>
      </c>
    </row>
    <row r="8" spans="1:7" ht="24.95" customHeight="1" x14ac:dyDescent="0.2">
      <c r="A8" s="1462"/>
      <c r="B8" s="1468"/>
      <c r="C8" s="175" t="s">
        <v>444</v>
      </c>
      <c r="D8" s="155">
        <v>183.56</v>
      </c>
      <c r="E8" s="152">
        <v>61.19</v>
      </c>
      <c r="F8" s="151">
        <f>D8+E8</f>
        <v>244.75</v>
      </c>
      <c r="G8" s="1474"/>
    </row>
    <row r="9" spans="1:7" ht="24.95" customHeight="1" x14ac:dyDescent="0.2">
      <c r="A9" s="1466">
        <v>3</v>
      </c>
      <c r="B9" s="1467" t="s">
        <v>419</v>
      </c>
      <c r="C9" s="1469" t="s">
        <v>431</v>
      </c>
      <c r="D9" s="155">
        <v>0</v>
      </c>
      <c r="E9" s="156">
        <v>0</v>
      </c>
      <c r="F9" s="155">
        <f t="shared" ref="F9:F17" si="0">SUM(D9:E9)</f>
        <v>0</v>
      </c>
      <c r="G9" s="1471" t="s">
        <v>436</v>
      </c>
    </row>
    <row r="10" spans="1:7" ht="24.95" customHeight="1" x14ac:dyDescent="0.2">
      <c r="A10" s="1462"/>
      <c r="B10" s="1468"/>
      <c r="C10" s="1470"/>
      <c r="D10" s="155">
        <v>0</v>
      </c>
      <c r="E10" s="156">
        <v>0</v>
      </c>
      <c r="F10" s="155">
        <v>0</v>
      </c>
      <c r="G10" s="1472"/>
    </row>
    <row r="11" spans="1:7" ht="24.95" customHeight="1" x14ac:dyDescent="0.2">
      <c r="A11" s="1466">
        <v>4</v>
      </c>
      <c r="B11" s="1467" t="s">
        <v>144</v>
      </c>
      <c r="C11" s="1477" t="s">
        <v>470</v>
      </c>
      <c r="D11" s="155">
        <v>0</v>
      </c>
      <c r="E11" s="156">
        <v>0</v>
      </c>
      <c r="F11" s="155">
        <f t="shared" si="0"/>
        <v>0</v>
      </c>
      <c r="G11" s="1478" t="s">
        <v>420</v>
      </c>
    </row>
    <row r="12" spans="1:7" ht="24.95" customHeight="1" x14ac:dyDescent="0.2">
      <c r="A12" s="1462"/>
      <c r="B12" s="1468"/>
      <c r="C12" s="1470"/>
      <c r="D12" s="155">
        <f>7899*5000/100000</f>
        <v>394.95</v>
      </c>
      <c r="E12" s="156">
        <v>0</v>
      </c>
      <c r="F12" s="155">
        <f t="shared" si="0"/>
        <v>394.95</v>
      </c>
      <c r="G12" s="1479"/>
    </row>
    <row r="13" spans="1:7" ht="24.95" customHeight="1" x14ac:dyDescent="0.2">
      <c r="A13" s="1463">
        <v>5</v>
      </c>
      <c r="B13" s="1480" t="s">
        <v>421</v>
      </c>
      <c r="C13" s="154" t="s">
        <v>432</v>
      </c>
      <c r="D13" s="155" t="e">
        <f>AT27_Req_FG_CA_Pry!#REF!</f>
        <v>#REF!</v>
      </c>
      <c r="E13" s="156">
        <v>0</v>
      </c>
      <c r="F13" s="155" t="e">
        <f t="shared" si="0"/>
        <v>#REF!</v>
      </c>
      <c r="G13" s="1478" t="s">
        <v>420</v>
      </c>
    </row>
    <row r="14" spans="1:7" ht="24.95" customHeight="1" x14ac:dyDescent="0.2">
      <c r="A14" s="1463"/>
      <c r="B14" s="1481"/>
      <c r="C14" s="154" t="s">
        <v>433</v>
      </c>
      <c r="D14" s="155" t="e">
        <f>AT27A_Req_FG_CA_UPry!#REF!</f>
        <v>#REF!</v>
      </c>
      <c r="E14" s="156">
        <v>0</v>
      </c>
      <c r="F14" s="155" t="e">
        <f t="shared" si="0"/>
        <v>#REF!</v>
      </c>
      <c r="G14" s="1479"/>
    </row>
    <row r="15" spans="1:7" ht="24.95" customHeight="1" x14ac:dyDescent="0.2">
      <c r="A15" s="1466">
        <v>6</v>
      </c>
      <c r="B15" s="1467" t="s">
        <v>141</v>
      </c>
      <c r="C15" s="157" t="s">
        <v>422</v>
      </c>
      <c r="D15" s="155" t="e">
        <f>1.8/100*(D4+D13+D17+D19)</f>
        <v>#REF!</v>
      </c>
      <c r="E15" s="156">
        <v>0</v>
      </c>
      <c r="F15" s="155" t="e">
        <f t="shared" si="0"/>
        <v>#REF!</v>
      </c>
      <c r="G15" s="1475" t="s">
        <v>423</v>
      </c>
    </row>
    <row r="16" spans="1:7" ht="32.25" customHeight="1" x14ac:dyDescent="0.2">
      <c r="A16" s="1462"/>
      <c r="B16" s="1468"/>
      <c r="C16" s="157" t="s">
        <v>424</v>
      </c>
      <c r="D16" s="155" t="e">
        <f>1.8/100*(D6+D14+D18+D20)</f>
        <v>#REF!</v>
      </c>
      <c r="E16" s="156">
        <v>0</v>
      </c>
      <c r="F16" s="155" t="e">
        <f t="shared" si="0"/>
        <v>#REF!</v>
      </c>
      <c r="G16" s="1476"/>
    </row>
    <row r="17" spans="1:7" ht="24.95" customHeight="1" x14ac:dyDescent="0.2">
      <c r="A17" s="1466">
        <v>7</v>
      </c>
      <c r="B17" s="1467" t="s">
        <v>464</v>
      </c>
      <c r="C17" s="157" t="s">
        <v>429</v>
      </c>
      <c r="D17" s="155">
        <f>20218*10*750/100000</f>
        <v>1516.35</v>
      </c>
      <c r="E17" s="156">
        <v>1516.35</v>
      </c>
      <c r="F17" s="155">
        <f t="shared" si="0"/>
        <v>3032.7</v>
      </c>
      <c r="G17" s="1475" t="s">
        <v>425</v>
      </c>
    </row>
    <row r="18" spans="1:7" ht="24.95" customHeight="1" x14ac:dyDescent="0.2">
      <c r="A18" s="1462"/>
      <c r="B18" s="1468"/>
      <c r="C18" s="157" t="s">
        <v>430</v>
      </c>
      <c r="D18" s="155">
        <f>10237*10*750/100000</f>
        <v>767.77499999999998</v>
      </c>
      <c r="E18" s="156">
        <v>767.78</v>
      </c>
      <c r="F18" s="155">
        <f>SUM(D18:E18)</f>
        <v>1535.5549999999998</v>
      </c>
      <c r="G18" s="1476"/>
    </row>
    <row r="19" spans="1:7" ht="24.95" customHeight="1" x14ac:dyDescent="0.2">
      <c r="A19" s="1466">
        <v>8</v>
      </c>
      <c r="B19" s="1467" t="s">
        <v>426</v>
      </c>
      <c r="C19" s="154" t="s">
        <v>422</v>
      </c>
      <c r="D19" s="158">
        <f>AT27_Req_FG_CA_Pry!M23</f>
        <v>1718.7288999999996</v>
      </c>
      <c r="E19" s="159">
        <v>0</v>
      </c>
      <c r="F19" s="158">
        <f>SUM(D19:E19)</f>
        <v>1718.7288999999996</v>
      </c>
      <c r="G19" s="160" t="s">
        <v>434</v>
      </c>
    </row>
    <row r="20" spans="1:7" ht="24.95" customHeight="1" x14ac:dyDescent="0.2">
      <c r="A20" s="1462"/>
      <c r="B20" s="1468"/>
      <c r="C20" s="154" t="s">
        <v>424</v>
      </c>
      <c r="D20" s="158">
        <f>AT27A_Req_FG_CA_UPry!M23</f>
        <v>1832.0552999999998</v>
      </c>
      <c r="E20" s="159">
        <v>0</v>
      </c>
      <c r="F20" s="158">
        <f>SUM(D20:E20)</f>
        <v>1832.0552999999998</v>
      </c>
      <c r="G20" s="160" t="s">
        <v>434</v>
      </c>
    </row>
    <row r="21" spans="1:7" ht="24.95" customHeight="1" thickBot="1" x14ac:dyDescent="0.25">
      <c r="A21" s="161">
        <v>9</v>
      </c>
      <c r="B21" s="162" t="s">
        <v>427</v>
      </c>
      <c r="C21" s="160"/>
      <c r="D21" s="158">
        <v>0</v>
      </c>
      <c r="E21" s="159">
        <v>40</v>
      </c>
      <c r="F21" s="158">
        <f>SUM(D21:E21)</f>
        <v>40</v>
      </c>
      <c r="G21" s="160" t="s">
        <v>435</v>
      </c>
    </row>
    <row r="22" spans="1:7" ht="24.95" customHeight="1" thickBot="1" x14ac:dyDescent="0.25">
      <c r="A22" s="163"/>
      <c r="B22" s="164" t="s">
        <v>18</v>
      </c>
      <c r="C22" s="165"/>
      <c r="D22" s="166" t="e">
        <f>SUM(D4:D21)</f>
        <v>#REF!</v>
      </c>
      <c r="E22" s="167">
        <f>SUM(E4:E21)</f>
        <v>2616.96</v>
      </c>
      <c r="F22" s="166" t="e">
        <f>SUM(F4:F21)</f>
        <v>#REF!</v>
      </c>
      <c r="G22" s="168"/>
    </row>
    <row r="23" spans="1:7" x14ac:dyDescent="0.2">
      <c r="A23" s="65" t="s">
        <v>471</v>
      </c>
    </row>
  </sheetData>
  <mergeCells count="25">
    <mergeCell ref="A19:A20"/>
    <mergeCell ref="B19:B20"/>
    <mergeCell ref="A17:A18"/>
    <mergeCell ref="A15:A16"/>
    <mergeCell ref="B15:B16"/>
    <mergeCell ref="G15:G16"/>
    <mergeCell ref="B17:B18"/>
    <mergeCell ref="G17:G18"/>
    <mergeCell ref="A11:A12"/>
    <mergeCell ref="B11:B12"/>
    <mergeCell ref="C11:C12"/>
    <mergeCell ref="G11:G12"/>
    <mergeCell ref="A13:A14"/>
    <mergeCell ref="B13:B14"/>
    <mergeCell ref="G13:G14"/>
    <mergeCell ref="A1:G1"/>
    <mergeCell ref="A4:A6"/>
    <mergeCell ref="B4:B6"/>
    <mergeCell ref="A9:A10"/>
    <mergeCell ref="B9:B10"/>
    <mergeCell ref="C9:C10"/>
    <mergeCell ref="G9:G10"/>
    <mergeCell ref="A7:A8"/>
    <mergeCell ref="B7:B8"/>
    <mergeCell ref="G7:G8"/>
  </mergeCells>
  <pageMargins left="0.70866141732283472" right="0.33" top="0.4" bottom="0.39" header="0.21" footer="0.19"/>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P38"/>
  <sheetViews>
    <sheetView topLeftCell="A4" zoomScaleSheetLayoutView="78" workbookViewId="0">
      <selection activeCell="N16" sqref="N16"/>
    </sheetView>
  </sheetViews>
  <sheetFormatPr defaultColWidth="9.140625" defaultRowHeight="12.75" x14ac:dyDescent="0.2"/>
  <cols>
    <col min="1" max="1" width="7.42578125" style="98" customWidth="1"/>
    <col min="2" max="2" width="20.5703125" style="98" customWidth="1"/>
    <col min="3" max="3" width="12.7109375" style="98" customWidth="1"/>
    <col min="4" max="4" width="14.7109375" style="98" customWidth="1"/>
    <col min="5" max="5" width="12.28515625" style="98" customWidth="1"/>
    <col min="6" max="6" width="13.85546875" style="98" customWidth="1"/>
    <col min="7" max="7" width="14.42578125" style="98" customWidth="1"/>
    <col min="8" max="8" width="16.42578125" style="98" customWidth="1"/>
    <col min="9" max="9" width="14.7109375" style="98" customWidth="1"/>
    <col min="10" max="10" width="15.140625" style="98" customWidth="1"/>
    <col min="11" max="11" width="12.28515625" style="98" customWidth="1"/>
    <col min="12" max="12" width="13.28515625" style="98" customWidth="1"/>
    <col min="13" max="16384" width="9.140625" style="98"/>
  </cols>
  <sheetData>
    <row r="1" spans="1:16" s="56" customFormat="1" x14ac:dyDescent="0.2">
      <c r="E1" s="1486"/>
      <c r="F1" s="1486"/>
      <c r="G1" s="1486"/>
      <c r="H1" s="1486"/>
      <c r="I1" s="1486"/>
      <c r="K1" s="815" t="s">
        <v>905</v>
      </c>
    </row>
    <row r="2" spans="1:16" s="56" customFormat="1" ht="15" x14ac:dyDescent="0.2">
      <c r="A2" s="1487" t="s">
        <v>0</v>
      </c>
      <c r="B2" s="1487"/>
      <c r="C2" s="1487"/>
      <c r="D2" s="1487"/>
      <c r="E2" s="1487"/>
      <c r="F2" s="1487"/>
      <c r="G2" s="1487"/>
      <c r="H2" s="1487"/>
      <c r="I2" s="1487"/>
      <c r="J2" s="1487"/>
      <c r="K2" s="1487"/>
      <c r="L2" s="1487"/>
    </row>
    <row r="3" spans="1:16" s="56" customFormat="1" ht="20.25" x14ac:dyDescent="0.3">
      <c r="A3" s="1488" t="s">
        <v>794</v>
      </c>
      <c r="B3" s="1488"/>
      <c r="C3" s="1488"/>
      <c r="D3" s="1488"/>
      <c r="E3" s="1488"/>
      <c r="F3" s="1488"/>
      <c r="G3" s="1488"/>
      <c r="H3" s="1488"/>
      <c r="I3" s="1488"/>
      <c r="J3" s="1488"/>
      <c r="K3" s="1488"/>
      <c r="L3" s="1488"/>
    </row>
    <row r="4" spans="1:16" s="56" customFormat="1" ht="14.25" customHeight="1" x14ac:dyDescent="0.2"/>
    <row r="5" spans="1:16" ht="16.5" customHeight="1" x14ac:dyDescent="0.25">
      <c r="A5" s="1489" t="s">
        <v>894</v>
      </c>
      <c r="B5" s="1489"/>
      <c r="C5" s="1489"/>
      <c r="D5" s="1489"/>
      <c r="E5" s="1489"/>
      <c r="F5" s="1489"/>
      <c r="G5" s="1489"/>
      <c r="H5" s="1489"/>
      <c r="I5" s="1489"/>
      <c r="J5" s="1489"/>
      <c r="K5" s="1489"/>
      <c r="L5" s="1489"/>
    </row>
    <row r="6" spans="1:16" ht="13.5" customHeight="1" x14ac:dyDescent="0.2">
      <c r="A6" s="57"/>
      <c r="B6" s="57"/>
      <c r="C6" s="57"/>
      <c r="D6" s="57"/>
      <c r="E6" s="57"/>
      <c r="F6" s="57"/>
      <c r="G6" s="57"/>
      <c r="H6" s="57"/>
      <c r="I6" s="57"/>
      <c r="J6" s="57"/>
    </row>
    <row r="7" spans="1:16" ht="0.75" customHeight="1" x14ac:dyDescent="0.2"/>
    <row r="8" spans="1:16" x14ac:dyDescent="0.2">
      <c r="A8" s="1485" t="s">
        <v>895</v>
      </c>
      <c r="B8" s="1485"/>
      <c r="C8" s="814"/>
      <c r="J8" s="821" t="s">
        <v>803</v>
      </c>
      <c r="K8" s="821"/>
      <c r="L8" s="821"/>
    </row>
    <row r="9" spans="1:16" s="819" customFormat="1" ht="30.75" customHeight="1" x14ac:dyDescent="0.2">
      <c r="A9" s="1306" t="s">
        <v>2</v>
      </c>
      <c r="B9" s="1306" t="s">
        <v>38</v>
      </c>
      <c r="C9" s="1483" t="s">
        <v>896</v>
      </c>
      <c r="D9" s="1483"/>
      <c r="E9" s="1483" t="s">
        <v>139</v>
      </c>
      <c r="F9" s="1483"/>
      <c r="G9" s="1483" t="s">
        <v>897</v>
      </c>
      <c r="H9" s="1483"/>
      <c r="I9" s="1483" t="s">
        <v>140</v>
      </c>
      <c r="J9" s="1483"/>
      <c r="K9" s="1483" t="s">
        <v>141</v>
      </c>
      <c r="L9" s="1483"/>
      <c r="O9" s="98"/>
      <c r="P9" s="820"/>
    </row>
    <row r="10" spans="1:16" s="819" customFormat="1" ht="53.25" customHeight="1" x14ac:dyDescent="0.2">
      <c r="A10" s="1306"/>
      <c r="B10" s="1306"/>
      <c r="C10" s="812" t="s">
        <v>898</v>
      </c>
      <c r="D10" s="812" t="s">
        <v>899</v>
      </c>
      <c r="E10" s="812" t="s">
        <v>900</v>
      </c>
      <c r="F10" s="812" t="s">
        <v>901</v>
      </c>
      <c r="G10" s="812" t="s">
        <v>900</v>
      </c>
      <c r="H10" s="812" t="s">
        <v>901</v>
      </c>
      <c r="I10" s="812" t="s">
        <v>898</v>
      </c>
      <c r="J10" s="812" t="s">
        <v>899</v>
      </c>
      <c r="K10" s="812" t="s">
        <v>898</v>
      </c>
      <c r="L10" s="812" t="s">
        <v>899</v>
      </c>
      <c r="O10" s="98"/>
    </row>
    <row r="11" spans="1:16" x14ac:dyDescent="0.2">
      <c r="A11" s="308">
        <v>1</v>
      </c>
      <c r="B11" s="308">
        <v>2</v>
      </c>
      <c r="C11" s="308">
        <v>3</v>
      </c>
      <c r="D11" s="308">
        <v>4</v>
      </c>
      <c r="E11" s="308">
        <v>5</v>
      </c>
      <c r="F11" s="308">
        <v>6</v>
      </c>
      <c r="G11" s="308">
        <v>7</v>
      </c>
      <c r="H11" s="308">
        <v>8</v>
      </c>
      <c r="I11" s="308">
        <v>9</v>
      </c>
      <c r="J11" s="308">
        <v>10</v>
      </c>
      <c r="K11" s="308">
        <v>11</v>
      </c>
      <c r="L11" s="308">
        <v>12</v>
      </c>
    </row>
    <row r="12" spans="1:16" ht="24.75" customHeight="1" x14ac:dyDescent="0.2">
      <c r="A12" s="810">
        <v>1</v>
      </c>
      <c r="B12" s="225" t="s">
        <v>392</v>
      </c>
      <c r="C12" s="1327" t="s">
        <v>406</v>
      </c>
      <c r="D12" s="1328"/>
      <c r="E12" s="1328"/>
      <c r="F12" s="1328"/>
      <c r="G12" s="1328"/>
      <c r="H12" s="1328"/>
      <c r="I12" s="1328"/>
      <c r="J12" s="1328"/>
      <c r="K12" s="1328"/>
      <c r="L12" s="1329"/>
    </row>
    <row r="13" spans="1:16" ht="24.75" customHeight="1" x14ac:dyDescent="0.2">
      <c r="A13" s="810">
        <v>2</v>
      </c>
      <c r="B13" s="225" t="s">
        <v>393</v>
      </c>
      <c r="C13" s="1330"/>
      <c r="D13" s="1331"/>
      <c r="E13" s="1331"/>
      <c r="F13" s="1331"/>
      <c r="G13" s="1331"/>
      <c r="H13" s="1331"/>
      <c r="I13" s="1331"/>
      <c r="J13" s="1331"/>
      <c r="K13" s="1331"/>
      <c r="L13" s="1332"/>
    </row>
    <row r="14" spans="1:16" ht="24.75" customHeight="1" x14ac:dyDescent="0.2">
      <c r="A14" s="810">
        <v>3</v>
      </c>
      <c r="B14" s="225" t="s">
        <v>394</v>
      </c>
      <c r="C14" s="1330"/>
      <c r="D14" s="1331"/>
      <c r="E14" s="1331"/>
      <c r="F14" s="1331"/>
      <c r="G14" s="1331"/>
      <c r="H14" s="1331"/>
      <c r="I14" s="1331"/>
      <c r="J14" s="1331"/>
      <c r="K14" s="1331"/>
      <c r="L14" s="1332"/>
    </row>
    <row r="15" spans="1:16" ht="24.75" customHeight="1" x14ac:dyDescent="0.2">
      <c r="A15" s="810">
        <v>4</v>
      </c>
      <c r="B15" s="225" t="s">
        <v>395</v>
      </c>
      <c r="C15" s="1330"/>
      <c r="D15" s="1331"/>
      <c r="E15" s="1331"/>
      <c r="F15" s="1331"/>
      <c r="G15" s="1331"/>
      <c r="H15" s="1331"/>
      <c r="I15" s="1331"/>
      <c r="J15" s="1331"/>
      <c r="K15" s="1331"/>
      <c r="L15" s="1332"/>
    </row>
    <row r="16" spans="1:16" ht="24.75" customHeight="1" x14ac:dyDescent="0.2">
      <c r="A16" s="810">
        <v>5</v>
      </c>
      <c r="B16" s="227" t="s">
        <v>396</v>
      </c>
      <c r="C16" s="1330"/>
      <c r="D16" s="1331"/>
      <c r="E16" s="1331"/>
      <c r="F16" s="1331"/>
      <c r="G16" s="1331"/>
      <c r="H16" s="1331"/>
      <c r="I16" s="1331"/>
      <c r="J16" s="1331"/>
      <c r="K16" s="1331"/>
      <c r="L16" s="1332"/>
    </row>
    <row r="17" spans="1:12" ht="24.75" customHeight="1" x14ac:dyDescent="0.2">
      <c r="A17" s="810">
        <v>6</v>
      </c>
      <c r="B17" s="225" t="s">
        <v>397</v>
      </c>
      <c r="C17" s="1330"/>
      <c r="D17" s="1331"/>
      <c r="E17" s="1331"/>
      <c r="F17" s="1331"/>
      <c r="G17" s="1331"/>
      <c r="H17" s="1331"/>
      <c r="I17" s="1331"/>
      <c r="J17" s="1331"/>
      <c r="K17" s="1331"/>
      <c r="L17" s="1332"/>
    </row>
    <row r="18" spans="1:12" ht="24.75" customHeight="1" x14ac:dyDescent="0.2">
      <c r="A18" s="810">
        <v>7</v>
      </c>
      <c r="B18" s="227" t="s">
        <v>398</v>
      </c>
      <c r="C18" s="1330"/>
      <c r="D18" s="1331"/>
      <c r="E18" s="1331"/>
      <c r="F18" s="1331"/>
      <c r="G18" s="1331"/>
      <c r="H18" s="1331"/>
      <c r="I18" s="1331"/>
      <c r="J18" s="1331"/>
      <c r="K18" s="1331"/>
      <c r="L18" s="1332"/>
    </row>
    <row r="19" spans="1:12" ht="24.75" customHeight="1" x14ac:dyDescent="0.2">
      <c r="A19" s="810">
        <v>8</v>
      </c>
      <c r="B19" s="225" t="s">
        <v>399</v>
      </c>
      <c r="C19" s="1330"/>
      <c r="D19" s="1331"/>
      <c r="E19" s="1331"/>
      <c r="F19" s="1331"/>
      <c r="G19" s="1331"/>
      <c r="H19" s="1331"/>
      <c r="I19" s="1331"/>
      <c r="J19" s="1331"/>
      <c r="K19" s="1331"/>
      <c r="L19" s="1332"/>
    </row>
    <row r="20" spans="1:12" ht="24.75" customHeight="1" x14ac:dyDescent="0.2">
      <c r="A20" s="810">
        <v>9</v>
      </c>
      <c r="B20" s="225" t="s">
        <v>400</v>
      </c>
      <c r="C20" s="1330"/>
      <c r="D20" s="1331"/>
      <c r="E20" s="1331"/>
      <c r="F20" s="1331"/>
      <c r="G20" s="1331"/>
      <c r="H20" s="1331"/>
      <c r="I20" s="1331"/>
      <c r="J20" s="1331"/>
      <c r="K20" s="1331"/>
      <c r="L20" s="1332"/>
    </row>
    <row r="21" spans="1:12" ht="24.75" customHeight="1" x14ac:dyDescent="0.2">
      <c r="A21" s="810">
        <v>10</v>
      </c>
      <c r="B21" s="225" t="s">
        <v>401</v>
      </c>
      <c r="C21" s="1330"/>
      <c r="D21" s="1331"/>
      <c r="E21" s="1331"/>
      <c r="F21" s="1331"/>
      <c r="G21" s="1331"/>
      <c r="H21" s="1331"/>
      <c r="I21" s="1331"/>
      <c r="J21" s="1331"/>
      <c r="K21" s="1331"/>
      <c r="L21" s="1332"/>
    </row>
    <row r="22" spans="1:12" ht="24.75" customHeight="1" x14ac:dyDescent="0.2">
      <c r="A22" s="810">
        <v>11</v>
      </c>
      <c r="B22" s="225" t="s">
        <v>402</v>
      </c>
      <c r="C22" s="1330"/>
      <c r="D22" s="1331"/>
      <c r="E22" s="1331"/>
      <c r="F22" s="1331"/>
      <c r="G22" s="1331"/>
      <c r="H22" s="1331"/>
      <c r="I22" s="1331"/>
      <c r="J22" s="1331"/>
      <c r="K22" s="1331"/>
      <c r="L22" s="1332"/>
    </row>
    <row r="23" spans="1:12" ht="24.75" customHeight="1" x14ac:dyDescent="0.2">
      <c r="A23" s="810">
        <v>12</v>
      </c>
      <c r="B23" s="225" t="s">
        <v>403</v>
      </c>
      <c r="C23" s="1330"/>
      <c r="D23" s="1331"/>
      <c r="E23" s="1331"/>
      <c r="F23" s="1331"/>
      <c r="G23" s="1331"/>
      <c r="H23" s="1331"/>
      <c r="I23" s="1331"/>
      <c r="J23" s="1331"/>
      <c r="K23" s="1331"/>
      <c r="L23" s="1332"/>
    </row>
    <row r="24" spans="1:12" ht="24.75" customHeight="1" x14ac:dyDescent="0.2">
      <c r="A24" s="810">
        <v>13</v>
      </c>
      <c r="B24" s="225" t="s">
        <v>404</v>
      </c>
      <c r="C24" s="1333"/>
      <c r="D24" s="1334"/>
      <c r="E24" s="1334"/>
      <c r="F24" s="1334"/>
      <c r="G24" s="1334"/>
      <c r="H24" s="1334"/>
      <c r="I24" s="1334"/>
      <c r="J24" s="1334"/>
      <c r="K24" s="1334"/>
      <c r="L24" s="1335"/>
    </row>
    <row r="25" spans="1:12" ht="24.75" customHeight="1" x14ac:dyDescent="0.2">
      <c r="A25" s="1093" t="s">
        <v>18</v>
      </c>
      <c r="B25" s="1084"/>
      <c r="C25" s="816"/>
      <c r="D25" s="816"/>
      <c r="E25" s="816"/>
      <c r="F25" s="816"/>
      <c r="G25" s="816"/>
      <c r="H25" s="816"/>
      <c r="I25" s="816"/>
      <c r="J25" s="816"/>
      <c r="K25" s="816"/>
      <c r="L25" s="816"/>
    </row>
    <row r="26" spans="1:12" x14ac:dyDescent="0.2">
      <c r="A26" s="62"/>
      <c r="B26" s="76"/>
      <c r="C26" s="76"/>
      <c r="D26" s="817"/>
      <c r="E26" s="817"/>
      <c r="F26" s="817"/>
      <c r="G26" s="817"/>
      <c r="H26" s="817"/>
      <c r="I26" s="817"/>
      <c r="J26" s="817"/>
    </row>
    <row r="27" spans="1:12" x14ac:dyDescent="0.2">
      <c r="A27" s="62"/>
      <c r="B27" s="76"/>
      <c r="C27" s="76"/>
      <c r="D27" s="817"/>
      <c r="E27" s="817"/>
      <c r="F27" s="817"/>
      <c r="G27" s="817"/>
      <c r="H27" s="817"/>
      <c r="I27" s="817"/>
      <c r="J27" s="817"/>
    </row>
    <row r="28" spans="1:12" x14ac:dyDescent="0.2">
      <c r="A28" s="62"/>
      <c r="B28" s="76"/>
      <c r="C28" s="76"/>
      <c r="D28" s="817"/>
      <c r="E28" s="817"/>
      <c r="F28" s="817"/>
      <c r="G28" s="817"/>
      <c r="H28" s="817"/>
      <c r="I28" s="817"/>
      <c r="J28" s="817"/>
    </row>
    <row r="29" spans="1:12" ht="15.75" customHeight="1" x14ac:dyDescent="0.2">
      <c r="A29" s="65" t="s">
        <v>11</v>
      </c>
      <c r="B29" s="65"/>
      <c r="C29" s="65"/>
      <c r="D29" s="65"/>
      <c r="E29" s="65"/>
      <c r="F29" s="65"/>
      <c r="G29" s="65"/>
      <c r="I29" s="1325" t="s">
        <v>12</v>
      </c>
      <c r="J29" s="1325"/>
    </row>
    <row r="30" spans="1:12" ht="12.75" customHeight="1" x14ac:dyDescent="0.2">
      <c r="A30" s="1484" t="s">
        <v>902</v>
      </c>
      <c r="B30" s="1484"/>
      <c r="C30" s="1484"/>
      <c r="D30" s="1484"/>
      <c r="E30" s="1484"/>
      <c r="F30" s="1484"/>
      <c r="G30" s="1484"/>
      <c r="H30" s="1484"/>
      <c r="I30" s="1484"/>
      <c r="J30" s="1484"/>
    </row>
    <row r="31" spans="1:12" ht="12.75" customHeight="1" x14ac:dyDescent="0.2">
      <c r="A31" s="818"/>
      <c r="B31" s="818"/>
      <c r="C31" s="818"/>
      <c r="D31" s="818"/>
      <c r="E31" s="818"/>
      <c r="F31" s="818"/>
      <c r="G31" s="818"/>
      <c r="H31" s="1325" t="s">
        <v>88</v>
      </c>
      <c r="I31" s="1325"/>
      <c r="J31" s="1325"/>
      <c r="K31" s="1325"/>
    </row>
    <row r="32" spans="1:12" x14ac:dyDescent="0.2">
      <c r="A32" s="65"/>
      <c r="B32" s="65"/>
      <c r="C32" s="65"/>
      <c r="E32" s="65"/>
      <c r="H32" s="1485" t="s">
        <v>85</v>
      </c>
      <c r="I32" s="1485"/>
      <c r="J32" s="1485"/>
    </row>
    <row r="36" spans="1:10" x14ac:dyDescent="0.2">
      <c r="A36" s="1482"/>
      <c r="B36" s="1482"/>
      <c r="C36" s="1482"/>
      <c r="D36" s="1482"/>
      <c r="E36" s="1482"/>
      <c r="F36" s="1482"/>
      <c r="G36" s="1482"/>
      <c r="H36" s="1482"/>
      <c r="I36" s="1482"/>
      <c r="J36" s="1482"/>
    </row>
    <row r="38" spans="1:10" x14ac:dyDescent="0.2">
      <c r="A38" s="1482"/>
      <c r="B38" s="1482"/>
      <c r="C38" s="1482"/>
      <c r="D38" s="1482"/>
      <c r="E38" s="1482"/>
      <c r="F38" s="1482"/>
      <c r="G38" s="1482"/>
      <c r="H38" s="1482"/>
      <c r="I38" s="1482"/>
      <c r="J38" s="1482"/>
    </row>
  </sheetData>
  <mergeCells count="20">
    <mergeCell ref="E1:I1"/>
    <mergeCell ref="A2:L2"/>
    <mergeCell ref="A3:L3"/>
    <mergeCell ref="A5:L5"/>
    <mergeCell ref="A8:B8"/>
    <mergeCell ref="A38:J38"/>
    <mergeCell ref="A25:B25"/>
    <mergeCell ref="C12:L24"/>
    <mergeCell ref="K9:L9"/>
    <mergeCell ref="I29:J29"/>
    <mergeCell ref="A30:J30"/>
    <mergeCell ref="H31:K31"/>
    <mergeCell ref="H32:J32"/>
    <mergeCell ref="A36:J36"/>
    <mergeCell ref="A9:A10"/>
    <mergeCell ref="B9:B10"/>
    <mergeCell ref="C9:D9"/>
    <mergeCell ref="E9:F9"/>
    <mergeCell ref="G9:H9"/>
    <mergeCell ref="I9:J9"/>
  </mergeCells>
  <printOptions horizontalCentered="1"/>
  <pageMargins left="0.31" right="0.36" top="0.23622047244094491" bottom="0" header="0.31496062992125984" footer="0.31496062992125984"/>
  <pageSetup paperSize="9" scale="8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P38"/>
  <sheetViews>
    <sheetView view="pageBreakPreview" zoomScale="78" zoomScaleSheetLayoutView="78" workbookViewId="0">
      <selection activeCell="N16" sqref="N16"/>
    </sheetView>
  </sheetViews>
  <sheetFormatPr defaultColWidth="9.140625" defaultRowHeight="12.75" x14ac:dyDescent="0.2"/>
  <cols>
    <col min="1" max="1" width="7.42578125" style="98" customWidth="1"/>
    <col min="2" max="2" width="20.5703125" style="98" customWidth="1"/>
    <col min="3" max="3" width="12.7109375" style="98" customWidth="1"/>
    <col min="4" max="4" width="14.7109375" style="98" customWidth="1"/>
    <col min="5" max="5" width="12.28515625" style="98" customWidth="1"/>
    <col min="6" max="6" width="13.85546875" style="98" customWidth="1"/>
    <col min="7" max="7" width="14.42578125" style="98" customWidth="1"/>
    <col min="8" max="8" width="16.42578125" style="98" customWidth="1"/>
    <col min="9" max="9" width="14.7109375" style="98" customWidth="1"/>
    <col min="10" max="10" width="15.140625" style="98" customWidth="1"/>
    <col min="11" max="11" width="12.28515625" style="98" customWidth="1"/>
    <col min="12" max="12" width="13.28515625" style="98" customWidth="1"/>
    <col min="13" max="16384" width="9.140625" style="98"/>
  </cols>
  <sheetData>
    <row r="1" spans="1:16" s="56" customFormat="1" x14ac:dyDescent="0.2">
      <c r="E1" s="1486"/>
      <c r="F1" s="1486"/>
      <c r="G1" s="1486"/>
      <c r="H1" s="1486"/>
      <c r="I1" s="1486"/>
      <c r="K1" s="815" t="s">
        <v>903</v>
      </c>
    </row>
    <row r="2" spans="1:16" s="56" customFormat="1" ht="15" x14ac:dyDescent="0.2">
      <c r="A2" s="1487" t="s">
        <v>0</v>
      </c>
      <c r="B2" s="1487"/>
      <c r="C2" s="1487"/>
      <c r="D2" s="1487"/>
      <c r="E2" s="1487"/>
      <c r="F2" s="1487"/>
      <c r="G2" s="1487"/>
      <c r="H2" s="1487"/>
      <c r="I2" s="1487"/>
      <c r="J2" s="1487"/>
      <c r="K2" s="1487"/>
      <c r="L2" s="1487"/>
    </row>
    <row r="3" spans="1:16" s="56" customFormat="1" ht="20.25" x14ac:dyDescent="0.3">
      <c r="A3" s="1488" t="s">
        <v>794</v>
      </c>
      <c r="B3" s="1488"/>
      <c r="C3" s="1488"/>
      <c r="D3" s="1488"/>
      <c r="E3" s="1488"/>
      <c r="F3" s="1488"/>
      <c r="G3" s="1488"/>
      <c r="H3" s="1488"/>
      <c r="I3" s="1488"/>
      <c r="J3" s="1488"/>
      <c r="K3" s="1488"/>
      <c r="L3" s="1488"/>
    </row>
    <row r="4" spans="1:16" s="56" customFormat="1" ht="14.25" customHeight="1" x14ac:dyDescent="0.2"/>
    <row r="5" spans="1:16" ht="16.5" customHeight="1" x14ac:dyDescent="0.25">
      <c r="A5" s="1489" t="s">
        <v>904</v>
      </c>
      <c r="B5" s="1489"/>
      <c r="C5" s="1489"/>
      <c r="D5" s="1489"/>
      <c r="E5" s="1489"/>
      <c r="F5" s="1489"/>
      <c r="G5" s="1489"/>
      <c r="H5" s="1489"/>
      <c r="I5" s="1489"/>
      <c r="J5" s="1489"/>
      <c r="K5" s="1489"/>
      <c r="L5" s="1489"/>
    </row>
    <row r="6" spans="1:16" ht="13.5" customHeight="1" x14ac:dyDescent="0.2">
      <c r="A6" s="57"/>
      <c r="B6" s="57"/>
      <c r="C6" s="57"/>
      <c r="D6" s="57"/>
      <c r="E6" s="57"/>
      <c r="F6" s="57"/>
      <c r="G6" s="57"/>
      <c r="H6" s="57"/>
      <c r="I6" s="57"/>
      <c r="J6" s="57"/>
    </row>
    <row r="7" spans="1:16" ht="0.75" customHeight="1" x14ac:dyDescent="0.2"/>
    <row r="8" spans="1:16" x14ac:dyDescent="0.2">
      <c r="A8" s="1485" t="s">
        <v>895</v>
      </c>
      <c r="B8" s="1485"/>
      <c r="C8" s="814"/>
      <c r="J8" s="1490" t="s">
        <v>803</v>
      </c>
      <c r="K8" s="1490"/>
      <c r="L8" s="1490"/>
    </row>
    <row r="9" spans="1:16" s="819" customFormat="1" ht="30.75" customHeight="1" x14ac:dyDescent="0.2">
      <c r="A9" s="1306" t="s">
        <v>2</v>
      </c>
      <c r="B9" s="1306" t="s">
        <v>38</v>
      </c>
      <c r="C9" s="1483" t="s">
        <v>896</v>
      </c>
      <c r="D9" s="1483"/>
      <c r="E9" s="1483" t="s">
        <v>139</v>
      </c>
      <c r="F9" s="1483"/>
      <c r="G9" s="1483" t="s">
        <v>897</v>
      </c>
      <c r="H9" s="1483"/>
      <c r="I9" s="1483" t="s">
        <v>140</v>
      </c>
      <c r="J9" s="1483"/>
      <c r="K9" s="1483" t="s">
        <v>141</v>
      </c>
      <c r="L9" s="1483"/>
      <c r="O9" s="98"/>
      <c r="P9" s="820"/>
    </row>
    <row r="10" spans="1:16" s="819" customFormat="1" ht="53.25" customHeight="1" x14ac:dyDescent="0.2">
      <c r="A10" s="1306"/>
      <c r="B10" s="1306"/>
      <c r="C10" s="812" t="s">
        <v>898</v>
      </c>
      <c r="D10" s="812" t="s">
        <v>899</v>
      </c>
      <c r="E10" s="812" t="s">
        <v>900</v>
      </c>
      <c r="F10" s="812" t="s">
        <v>901</v>
      </c>
      <c r="G10" s="812" t="s">
        <v>900</v>
      </c>
      <c r="H10" s="812" t="s">
        <v>901</v>
      </c>
      <c r="I10" s="812" t="s">
        <v>898</v>
      </c>
      <c r="J10" s="812" t="s">
        <v>899</v>
      </c>
      <c r="K10" s="812" t="s">
        <v>898</v>
      </c>
      <c r="L10" s="812" t="s">
        <v>899</v>
      </c>
      <c r="O10" s="98"/>
    </row>
    <row r="11" spans="1:16" x14ac:dyDescent="0.2">
      <c r="A11" s="308">
        <v>1</v>
      </c>
      <c r="B11" s="308">
        <v>2</v>
      </c>
      <c r="C11" s="308">
        <v>3</v>
      </c>
      <c r="D11" s="308">
        <v>4</v>
      </c>
      <c r="E11" s="308">
        <v>5</v>
      </c>
      <c r="F11" s="308">
        <v>6</v>
      </c>
      <c r="G11" s="308">
        <v>7</v>
      </c>
      <c r="H11" s="308">
        <v>8</v>
      </c>
      <c r="I11" s="308">
        <v>9</v>
      </c>
      <c r="J11" s="308">
        <v>10</v>
      </c>
      <c r="K11" s="308">
        <v>11</v>
      </c>
      <c r="L11" s="308">
        <v>12</v>
      </c>
    </row>
    <row r="12" spans="1:16" ht="24.75" customHeight="1" x14ac:dyDescent="0.2">
      <c r="A12" s="810">
        <v>1</v>
      </c>
      <c r="B12" s="225" t="s">
        <v>392</v>
      </c>
      <c r="C12" s="1327" t="s">
        <v>406</v>
      </c>
      <c r="D12" s="1328"/>
      <c r="E12" s="1328"/>
      <c r="F12" s="1328"/>
      <c r="G12" s="1328"/>
      <c r="H12" s="1328"/>
      <c r="I12" s="1328"/>
      <c r="J12" s="1328"/>
      <c r="K12" s="1328"/>
      <c r="L12" s="1329"/>
    </row>
    <row r="13" spans="1:16" ht="24.75" customHeight="1" x14ac:dyDescent="0.2">
      <c r="A13" s="810">
        <v>2</v>
      </c>
      <c r="B13" s="225" t="s">
        <v>393</v>
      </c>
      <c r="C13" s="1330"/>
      <c r="D13" s="1331"/>
      <c r="E13" s="1331"/>
      <c r="F13" s="1331"/>
      <c r="G13" s="1331"/>
      <c r="H13" s="1331"/>
      <c r="I13" s="1331"/>
      <c r="J13" s="1331"/>
      <c r="K13" s="1331"/>
      <c r="L13" s="1332"/>
    </row>
    <row r="14" spans="1:16" ht="24.75" customHeight="1" x14ac:dyDescent="0.2">
      <c r="A14" s="810">
        <v>3</v>
      </c>
      <c r="B14" s="225" t="s">
        <v>394</v>
      </c>
      <c r="C14" s="1330"/>
      <c r="D14" s="1331"/>
      <c r="E14" s="1331"/>
      <c r="F14" s="1331"/>
      <c r="G14" s="1331"/>
      <c r="H14" s="1331"/>
      <c r="I14" s="1331"/>
      <c r="J14" s="1331"/>
      <c r="K14" s="1331"/>
      <c r="L14" s="1332"/>
    </row>
    <row r="15" spans="1:16" ht="24.75" customHeight="1" x14ac:dyDescent="0.2">
      <c r="A15" s="810">
        <v>4</v>
      </c>
      <c r="B15" s="225" t="s">
        <v>395</v>
      </c>
      <c r="C15" s="1330"/>
      <c r="D15" s="1331"/>
      <c r="E15" s="1331"/>
      <c r="F15" s="1331"/>
      <c r="G15" s="1331"/>
      <c r="H15" s="1331"/>
      <c r="I15" s="1331"/>
      <c r="J15" s="1331"/>
      <c r="K15" s="1331"/>
      <c r="L15" s="1332"/>
    </row>
    <row r="16" spans="1:16" ht="24.75" customHeight="1" x14ac:dyDescent="0.2">
      <c r="A16" s="810">
        <v>5</v>
      </c>
      <c r="B16" s="227" t="s">
        <v>396</v>
      </c>
      <c r="C16" s="1330"/>
      <c r="D16" s="1331"/>
      <c r="E16" s="1331"/>
      <c r="F16" s="1331"/>
      <c r="G16" s="1331"/>
      <c r="H16" s="1331"/>
      <c r="I16" s="1331"/>
      <c r="J16" s="1331"/>
      <c r="K16" s="1331"/>
      <c r="L16" s="1332"/>
    </row>
    <row r="17" spans="1:12" ht="24.75" customHeight="1" x14ac:dyDescent="0.2">
      <c r="A17" s="810">
        <v>6</v>
      </c>
      <c r="B17" s="225" t="s">
        <v>397</v>
      </c>
      <c r="C17" s="1330"/>
      <c r="D17" s="1331"/>
      <c r="E17" s="1331"/>
      <c r="F17" s="1331"/>
      <c r="G17" s="1331"/>
      <c r="H17" s="1331"/>
      <c r="I17" s="1331"/>
      <c r="J17" s="1331"/>
      <c r="K17" s="1331"/>
      <c r="L17" s="1332"/>
    </row>
    <row r="18" spans="1:12" ht="24.75" customHeight="1" x14ac:dyDescent="0.2">
      <c r="A18" s="810">
        <v>7</v>
      </c>
      <c r="B18" s="227" t="s">
        <v>398</v>
      </c>
      <c r="C18" s="1330"/>
      <c r="D18" s="1331"/>
      <c r="E18" s="1331"/>
      <c r="F18" s="1331"/>
      <c r="G18" s="1331"/>
      <c r="H18" s="1331"/>
      <c r="I18" s="1331"/>
      <c r="J18" s="1331"/>
      <c r="K18" s="1331"/>
      <c r="L18" s="1332"/>
    </row>
    <row r="19" spans="1:12" ht="24.75" customHeight="1" x14ac:dyDescent="0.2">
      <c r="A19" s="810">
        <v>8</v>
      </c>
      <c r="B19" s="225" t="s">
        <v>399</v>
      </c>
      <c r="C19" s="1330"/>
      <c r="D19" s="1331"/>
      <c r="E19" s="1331"/>
      <c r="F19" s="1331"/>
      <c r="G19" s="1331"/>
      <c r="H19" s="1331"/>
      <c r="I19" s="1331"/>
      <c r="J19" s="1331"/>
      <c r="K19" s="1331"/>
      <c r="L19" s="1332"/>
    </row>
    <row r="20" spans="1:12" ht="24.75" customHeight="1" x14ac:dyDescent="0.2">
      <c r="A20" s="810">
        <v>9</v>
      </c>
      <c r="B20" s="225" t="s">
        <v>400</v>
      </c>
      <c r="C20" s="1330"/>
      <c r="D20" s="1331"/>
      <c r="E20" s="1331"/>
      <c r="F20" s="1331"/>
      <c r="G20" s="1331"/>
      <c r="H20" s="1331"/>
      <c r="I20" s="1331"/>
      <c r="J20" s="1331"/>
      <c r="K20" s="1331"/>
      <c r="L20" s="1332"/>
    </row>
    <row r="21" spans="1:12" ht="24.75" customHeight="1" x14ac:dyDescent="0.2">
      <c r="A21" s="810">
        <v>10</v>
      </c>
      <c r="B21" s="225" t="s">
        <v>401</v>
      </c>
      <c r="C21" s="1330"/>
      <c r="D21" s="1331"/>
      <c r="E21" s="1331"/>
      <c r="F21" s="1331"/>
      <c r="G21" s="1331"/>
      <c r="H21" s="1331"/>
      <c r="I21" s="1331"/>
      <c r="J21" s="1331"/>
      <c r="K21" s="1331"/>
      <c r="L21" s="1332"/>
    </row>
    <row r="22" spans="1:12" ht="24.75" customHeight="1" x14ac:dyDescent="0.2">
      <c r="A22" s="810">
        <v>11</v>
      </c>
      <c r="B22" s="225" t="s">
        <v>402</v>
      </c>
      <c r="C22" s="1330"/>
      <c r="D22" s="1331"/>
      <c r="E22" s="1331"/>
      <c r="F22" s="1331"/>
      <c r="G22" s="1331"/>
      <c r="H22" s="1331"/>
      <c r="I22" s="1331"/>
      <c r="J22" s="1331"/>
      <c r="K22" s="1331"/>
      <c r="L22" s="1332"/>
    </row>
    <row r="23" spans="1:12" ht="24.75" customHeight="1" x14ac:dyDescent="0.2">
      <c r="A23" s="810">
        <v>12</v>
      </c>
      <c r="B23" s="225" t="s">
        <v>403</v>
      </c>
      <c r="C23" s="1330"/>
      <c r="D23" s="1331"/>
      <c r="E23" s="1331"/>
      <c r="F23" s="1331"/>
      <c r="G23" s="1331"/>
      <c r="H23" s="1331"/>
      <c r="I23" s="1331"/>
      <c r="J23" s="1331"/>
      <c r="K23" s="1331"/>
      <c r="L23" s="1332"/>
    </row>
    <row r="24" spans="1:12" ht="24.75" customHeight="1" x14ac:dyDescent="0.2">
      <c r="A24" s="810">
        <v>13</v>
      </c>
      <c r="B24" s="225" t="s">
        <v>404</v>
      </c>
      <c r="C24" s="1333"/>
      <c r="D24" s="1334"/>
      <c r="E24" s="1334"/>
      <c r="F24" s="1334"/>
      <c r="G24" s="1334"/>
      <c r="H24" s="1334"/>
      <c r="I24" s="1334"/>
      <c r="J24" s="1334"/>
      <c r="K24" s="1334"/>
      <c r="L24" s="1335"/>
    </row>
    <row r="25" spans="1:12" ht="24.75" customHeight="1" x14ac:dyDescent="0.2">
      <c r="A25" s="1093" t="s">
        <v>18</v>
      </c>
      <c r="B25" s="1084"/>
      <c r="C25" s="816"/>
      <c r="D25" s="816"/>
      <c r="E25" s="816"/>
      <c r="F25" s="816"/>
      <c r="G25" s="816"/>
      <c r="H25" s="816"/>
      <c r="I25" s="816"/>
      <c r="J25" s="816"/>
      <c r="K25" s="816"/>
      <c r="L25" s="816"/>
    </row>
    <row r="26" spans="1:12" x14ac:dyDescent="0.2">
      <c r="A26" s="62"/>
      <c r="B26" s="76"/>
      <c r="C26" s="76"/>
      <c r="D26" s="817"/>
      <c r="E26" s="817"/>
      <c r="F26" s="817"/>
      <c r="G26" s="817"/>
      <c r="H26" s="817"/>
      <c r="I26" s="817"/>
      <c r="J26" s="817"/>
    </row>
    <row r="27" spans="1:12" x14ac:dyDescent="0.2">
      <c r="A27" s="62"/>
      <c r="B27" s="76"/>
      <c r="C27" s="76"/>
      <c r="D27" s="817"/>
      <c r="E27" s="817"/>
      <c r="F27" s="817"/>
      <c r="G27" s="817"/>
      <c r="H27" s="817"/>
      <c r="I27" s="817"/>
      <c r="J27" s="817"/>
    </row>
    <row r="28" spans="1:12" x14ac:dyDescent="0.2">
      <c r="A28" s="62"/>
      <c r="B28" s="76"/>
      <c r="C28" s="76"/>
      <c r="D28" s="817"/>
      <c r="E28" s="817"/>
      <c r="F28" s="817"/>
      <c r="G28" s="817"/>
      <c r="H28" s="817"/>
      <c r="I28" s="817"/>
      <c r="J28" s="817"/>
    </row>
    <row r="29" spans="1:12" ht="15.75" customHeight="1" x14ac:dyDescent="0.2">
      <c r="A29" s="65" t="s">
        <v>11</v>
      </c>
      <c r="B29" s="65"/>
      <c r="C29" s="65"/>
      <c r="D29" s="65"/>
      <c r="E29" s="65"/>
      <c r="F29" s="65"/>
      <c r="G29" s="65"/>
      <c r="I29" s="1325" t="s">
        <v>12</v>
      </c>
      <c r="J29" s="1325"/>
    </row>
    <row r="30" spans="1:12" ht="12.75" customHeight="1" x14ac:dyDescent="0.2">
      <c r="A30" s="1484" t="s">
        <v>902</v>
      </c>
      <c r="B30" s="1484"/>
      <c r="C30" s="1484"/>
      <c r="D30" s="1484"/>
      <c r="E30" s="1484"/>
      <c r="F30" s="1484"/>
      <c r="G30" s="1484"/>
      <c r="H30" s="1484"/>
      <c r="I30" s="1484"/>
      <c r="J30" s="1484"/>
    </row>
    <row r="31" spans="1:12" ht="12.75" customHeight="1" x14ac:dyDescent="0.2">
      <c r="A31" s="818"/>
      <c r="B31" s="818"/>
      <c r="C31" s="818"/>
      <c r="D31" s="818"/>
      <c r="E31" s="818"/>
      <c r="F31" s="818"/>
      <c r="G31" s="818"/>
      <c r="H31" s="1325" t="s">
        <v>88</v>
      </c>
      <c r="I31" s="1325"/>
      <c r="J31" s="1325"/>
      <c r="K31" s="1325"/>
    </row>
    <row r="32" spans="1:12" x14ac:dyDescent="0.2">
      <c r="A32" s="65"/>
      <c r="B32" s="65"/>
      <c r="C32" s="65"/>
      <c r="E32" s="65"/>
      <c r="H32" s="1485" t="s">
        <v>85</v>
      </c>
      <c r="I32" s="1485"/>
      <c r="J32" s="1485"/>
    </row>
    <row r="36" spans="1:10" x14ac:dyDescent="0.2">
      <c r="A36" s="1482"/>
      <c r="B36" s="1482"/>
      <c r="C36" s="1482"/>
      <c r="D36" s="1482"/>
      <c r="E36" s="1482"/>
      <c r="F36" s="1482"/>
      <c r="G36" s="1482"/>
      <c r="H36" s="1482"/>
      <c r="I36" s="1482"/>
      <c r="J36" s="1482"/>
    </row>
    <row r="38" spans="1:10" x14ac:dyDescent="0.2">
      <c r="A38" s="1482"/>
      <c r="B38" s="1482"/>
      <c r="C38" s="1482"/>
      <c r="D38" s="1482"/>
      <c r="E38" s="1482"/>
      <c r="F38" s="1482"/>
      <c r="G38" s="1482"/>
      <c r="H38" s="1482"/>
      <c r="I38" s="1482"/>
      <c r="J38" s="1482"/>
    </row>
  </sheetData>
  <mergeCells count="21">
    <mergeCell ref="G9:H9"/>
    <mergeCell ref="I9:J9"/>
    <mergeCell ref="E1:I1"/>
    <mergeCell ref="A5:L5"/>
    <mergeCell ref="A8:B8"/>
    <mergeCell ref="A38:J38"/>
    <mergeCell ref="A3:L3"/>
    <mergeCell ref="A2:L2"/>
    <mergeCell ref="J8:L8"/>
    <mergeCell ref="C12:L24"/>
    <mergeCell ref="A25:B25"/>
    <mergeCell ref="K9:L9"/>
    <mergeCell ref="I29:J29"/>
    <mergeCell ref="A30:J30"/>
    <mergeCell ref="H31:K31"/>
    <mergeCell ref="H32:J32"/>
    <mergeCell ref="A36:J36"/>
    <mergeCell ref="A9:A10"/>
    <mergeCell ref="B9:B10"/>
    <mergeCell ref="C9:D9"/>
    <mergeCell ref="E9:F9"/>
  </mergeCells>
  <printOptions horizontalCentered="1"/>
  <pageMargins left="0.31" right="0.36" top="0.23622047244094491" bottom="0" header="0.31496062992125984" footer="0.31496062992125984"/>
  <pageSetup paperSize="9" scale="8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2"/>
  <sheetViews>
    <sheetView view="pageBreakPreview" topLeftCell="A22" zoomScaleNormal="80" zoomScaleSheetLayoutView="100" workbookViewId="0">
      <selection activeCell="G12" sqref="G12:G13"/>
    </sheetView>
  </sheetViews>
  <sheetFormatPr defaultRowHeight="12.75" x14ac:dyDescent="0.2"/>
  <cols>
    <col min="1" max="1" width="9.5703125" style="56" customWidth="1"/>
    <col min="2" max="2" width="30" style="56" customWidth="1"/>
    <col min="3" max="3" width="23.7109375" style="56" customWidth="1"/>
    <col min="4" max="4" width="16.42578125" style="56" customWidth="1"/>
    <col min="5" max="5" width="12" style="56" customWidth="1"/>
    <col min="6" max="6" width="16.42578125" style="56" customWidth="1"/>
    <col min="7" max="7" width="50.42578125" style="56" customWidth="1"/>
    <col min="8" max="8" width="10" style="56" bestFit="1" customWidth="1"/>
    <col min="9" max="9" width="11" style="56" bestFit="1" customWidth="1"/>
    <col min="10" max="10" width="9.140625" style="56"/>
    <col min="11" max="11" width="9.5703125" style="56" bestFit="1" customWidth="1"/>
    <col min="12" max="16384" width="9.140625" style="56"/>
  </cols>
  <sheetData>
    <row r="1" spans="1:11" ht="18" x14ac:dyDescent="0.25">
      <c r="A1" s="1505" t="s">
        <v>888</v>
      </c>
      <c r="B1" s="1505"/>
      <c r="C1" s="1505"/>
      <c r="D1" s="1505"/>
      <c r="E1" s="1505"/>
      <c r="F1" s="1505"/>
      <c r="G1" s="1505"/>
    </row>
    <row r="2" spans="1:11" ht="18" x14ac:dyDescent="0.25">
      <c r="A2" s="1506" t="s">
        <v>889</v>
      </c>
      <c r="B2" s="1506"/>
      <c r="C2" s="1506"/>
      <c r="D2" s="1506"/>
      <c r="E2" s="1506"/>
      <c r="F2" s="1506"/>
      <c r="G2" s="1506"/>
    </row>
    <row r="3" spans="1:11" ht="15.75" thickBot="1" x14ac:dyDescent="0.3">
      <c r="A3" s="143" t="s">
        <v>410</v>
      </c>
      <c r="B3" s="57"/>
      <c r="C3" s="57"/>
      <c r="D3" s="57"/>
      <c r="E3" s="57"/>
      <c r="F3" s="57"/>
      <c r="G3" s="57" t="s">
        <v>411</v>
      </c>
    </row>
    <row r="4" spans="1:11" ht="26.25" thickBot="1" x14ac:dyDescent="0.25">
      <c r="A4" s="149" t="s">
        <v>412</v>
      </c>
      <c r="B4" s="148" t="s">
        <v>413</v>
      </c>
      <c r="C4" s="149" t="s">
        <v>414</v>
      </c>
      <c r="D4" s="146" t="s">
        <v>415</v>
      </c>
      <c r="E4" s="147" t="s">
        <v>416</v>
      </c>
      <c r="F4" s="148" t="s">
        <v>18</v>
      </c>
      <c r="G4" s="149" t="s">
        <v>417</v>
      </c>
      <c r="K4" s="238"/>
    </row>
    <row r="5" spans="1:11" ht="22.5" customHeight="1" x14ac:dyDescent="0.2">
      <c r="A5" s="1507">
        <v>1</v>
      </c>
      <c r="B5" s="1508" t="s">
        <v>418</v>
      </c>
      <c r="C5" s="874" t="s">
        <v>969</v>
      </c>
      <c r="D5" s="875">
        <f>356138*235*3.72/100000</f>
        <v>3113.3583960000001</v>
      </c>
      <c r="E5" s="876">
        <f>356138*235*0.41/100000</f>
        <v>343.13896299999999</v>
      </c>
      <c r="F5" s="877">
        <f>D5+E5</f>
        <v>3456.497359</v>
      </c>
      <c r="G5" s="609" t="s">
        <v>772</v>
      </c>
      <c r="K5" s="176"/>
    </row>
    <row r="6" spans="1:11" ht="22.5" customHeight="1" x14ac:dyDescent="0.2">
      <c r="A6" s="1504"/>
      <c r="B6" s="1509"/>
      <c r="C6" s="878" t="s">
        <v>970</v>
      </c>
      <c r="D6" s="653">
        <f>248816*5.56*235/100000</f>
        <v>3251.0298559999997</v>
      </c>
      <c r="E6" s="876">
        <f>248816*0.62*235/100000</f>
        <v>362.52491200000003</v>
      </c>
      <c r="F6" s="879">
        <f>D6+E6</f>
        <v>3613.5547679999995</v>
      </c>
      <c r="G6" s="169" t="s">
        <v>773</v>
      </c>
    </row>
    <row r="7" spans="1:11" ht="22.5" customHeight="1" x14ac:dyDescent="0.2">
      <c r="A7" s="644">
        <v>2</v>
      </c>
      <c r="B7" s="287" t="s">
        <v>595</v>
      </c>
      <c r="C7" s="871" t="s">
        <v>651</v>
      </c>
      <c r="D7" s="653">
        <v>0</v>
      </c>
      <c r="E7" s="876">
        <v>0</v>
      </c>
      <c r="F7" s="879">
        <f>D7+E7</f>
        <v>0</v>
      </c>
      <c r="G7" s="643"/>
    </row>
    <row r="8" spans="1:11" ht="18" customHeight="1" x14ac:dyDescent="0.2">
      <c r="A8" s="1491">
        <v>3</v>
      </c>
      <c r="B8" s="1493" t="s">
        <v>419</v>
      </c>
      <c r="C8" s="1496" t="s">
        <v>662</v>
      </c>
      <c r="D8" s="1511">
        <f>(0*2.07)</f>
        <v>0</v>
      </c>
      <c r="E8" s="1513">
        <v>0</v>
      </c>
      <c r="F8" s="1515">
        <f t="shared" ref="F8:F17" si="0">SUM(D8:E8)</f>
        <v>0</v>
      </c>
      <c r="G8" s="1473" t="s">
        <v>759</v>
      </c>
    </row>
    <row r="9" spans="1:11" ht="15" customHeight="1" x14ac:dyDescent="0.2">
      <c r="A9" s="1492"/>
      <c r="B9" s="1494"/>
      <c r="C9" s="1510"/>
      <c r="D9" s="1512"/>
      <c r="E9" s="1514"/>
      <c r="F9" s="1516"/>
      <c r="G9" s="1474"/>
    </row>
    <row r="10" spans="1:11" ht="22.5" customHeight="1" x14ac:dyDescent="0.2">
      <c r="A10" s="644">
        <v>4</v>
      </c>
      <c r="B10" s="287" t="s">
        <v>593</v>
      </c>
      <c r="C10" s="880" t="s">
        <v>661</v>
      </c>
      <c r="D10" s="653">
        <f>0*5000*0.00001</f>
        <v>0</v>
      </c>
      <c r="E10" s="579">
        <v>0</v>
      </c>
      <c r="F10" s="580">
        <f t="shared" si="0"/>
        <v>0</v>
      </c>
      <c r="G10" s="1473" t="s">
        <v>652</v>
      </c>
    </row>
    <row r="11" spans="1:11" ht="22.5" customHeight="1" x14ac:dyDescent="0.2">
      <c r="A11" s="644">
        <v>5</v>
      </c>
      <c r="B11" s="287" t="s">
        <v>594</v>
      </c>
      <c r="C11" s="871" t="s">
        <v>989</v>
      </c>
      <c r="D11" s="881">
        <f>2410*5000*0.00001</f>
        <v>120.50000000000001</v>
      </c>
      <c r="E11" s="579">
        <v>0</v>
      </c>
      <c r="F11" s="580">
        <f t="shared" si="0"/>
        <v>120.50000000000001</v>
      </c>
      <c r="G11" s="1474"/>
    </row>
    <row r="12" spans="1:11" ht="19.5" customHeight="1" x14ac:dyDescent="0.2">
      <c r="A12" s="1504">
        <v>6</v>
      </c>
      <c r="B12" s="1517" t="s">
        <v>421</v>
      </c>
      <c r="C12" s="878" t="s">
        <v>972</v>
      </c>
      <c r="D12" s="653">
        <f>8369.24*10*152.49/100000</f>
        <v>127.62254075999999</v>
      </c>
      <c r="E12" s="579">
        <v>0</v>
      </c>
      <c r="F12" s="580">
        <f t="shared" si="0"/>
        <v>127.62254075999999</v>
      </c>
      <c r="G12" s="1473" t="s">
        <v>599</v>
      </c>
    </row>
    <row r="13" spans="1:11" ht="22.5" customHeight="1" x14ac:dyDescent="0.2">
      <c r="A13" s="1504"/>
      <c r="B13" s="1518"/>
      <c r="C13" s="878" t="s">
        <v>971</v>
      </c>
      <c r="D13" s="653">
        <f>8770.76*152.49*10/100000</f>
        <v>133.74531924000001</v>
      </c>
      <c r="E13" s="579">
        <v>0</v>
      </c>
      <c r="F13" s="580">
        <f t="shared" si="0"/>
        <v>133.74531924000001</v>
      </c>
      <c r="G13" s="1474"/>
    </row>
    <row r="14" spans="1:11" ht="22.5" customHeight="1" x14ac:dyDescent="0.2">
      <c r="A14" s="644">
        <v>7</v>
      </c>
      <c r="B14" s="651" t="s">
        <v>658</v>
      </c>
      <c r="C14" s="878" t="s">
        <v>656</v>
      </c>
      <c r="D14" s="653">
        <v>0</v>
      </c>
      <c r="E14" s="579">
        <v>10</v>
      </c>
      <c r="F14" s="580">
        <f t="shared" si="0"/>
        <v>10</v>
      </c>
      <c r="G14" s="654" t="s">
        <v>657</v>
      </c>
    </row>
    <row r="15" spans="1:11" ht="22.5" customHeight="1" x14ac:dyDescent="0.2">
      <c r="A15" s="1491">
        <v>8</v>
      </c>
      <c r="B15" s="1493" t="s">
        <v>141</v>
      </c>
      <c r="C15" s="878" t="s">
        <v>422</v>
      </c>
      <c r="D15" s="653">
        <f>1.8/100*(D5+D12+D17+D27)</f>
        <v>93.206500681680012</v>
      </c>
      <c r="E15" s="579">
        <v>0</v>
      </c>
      <c r="F15" s="580">
        <f t="shared" si="0"/>
        <v>93.206500681680012</v>
      </c>
      <c r="G15" s="1502" t="s">
        <v>423</v>
      </c>
    </row>
    <row r="16" spans="1:11" ht="22.5" customHeight="1" x14ac:dyDescent="0.2">
      <c r="A16" s="1492"/>
      <c r="B16" s="1494"/>
      <c r="C16" s="878" t="s">
        <v>424</v>
      </c>
      <c r="D16" s="653">
        <f>1.8/100*(D6+D13+D18+D28)</f>
        <v>82.176879334320006</v>
      </c>
      <c r="E16" s="579">
        <v>0</v>
      </c>
      <c r="F16" s="580">
        <f t="shared" si="0"/>
        <v>82.176879334320006</v>
      </c>
      <c r="G16" s="1503"/>
    </row>
    <row r="17" spans="1:9" ht="22.5" customHeight="1" x14ac:dyDescent="0.2">
      <c r="A17" s="1491">
        <v>9</v>
      </c>
      <c r="B17" s="1493" t="s">
        <v>464</v>
      </c>
      <c r="C17" s="878" t="s">
        <v>994</v>
      </c>
      <c r="D17" s="653">
        <f>18525*10*900/100000</f>
        <v>1667.25</v>
      </c>
      <c r="E17" s="579">
        <f>18525*10*1100/100000</f>
        <v>2037.75</v>
      </c>
      <c r="F17" s="580">
        <f t="shared" si="0"/>
        <v>3705</v>
      </c>
      <c r="G17" s="1502" t="s">
        <v>746</v>
      </c>
    </row>
    <row r="18" spans="1:9" ht="22.5" customHeight="1" x14ac:dyDescent="0.2">
      <c r="A18" s="1492"/>
      <c r="B18" s="1494"/>
      <c r="C18" s="878" t="s">
        <v>995</v>
      </c>
      <c r="D18" s="653">
        <f>9975*10*900/100000</f>
        <v>897.75</v>
      </c>
      <c r="E18" s="579">
        <f>9975*10*1100/100000</f>
        <v>1097.25</v>
      </c>
      <c r="F18" s="580">
        <f t="shared" ref="F18:F29" si="1">SUM(D18:E18)</f>
        <v>1995</v>
      </c>
      <c r="G18" s="1503"/>
    </row>
    <row r="19" spans="1:9" ht="22.5" customHeight="1" x14ac:dyDescent="0.2">
      <c r="A19" s="1491">
        <v>10</v>
      </c>
      <c r="B19" s="1493" t="s">
        <v>653</v>
      </c>
      <c r="C19" s="878" t="s">
        <v>994</v>
      </c>
      <c r="D19" s="882">
        <v>0</v>
      </c>
      <c r="E19" s="579">
        <f>18525*1*2000/100000</f>
        <v>370.5</v>
      </c>
      <c r="F19" s="580">
        <f t="shared" si="1"/>
        <v>370.5</v>
      </c>
      <c r="G19" s="1495" t="s">
        <v>747</v>
      </c>
    </row>
    <row r="20" spans="1:9" ht="22.5" customHeight="1" x14ac:dyDescent="0.2">
      <c r="A20" s="1492"/>
      <c r="B20" s="1494"/>
      <c r="C20" s="878" t="s">
        <v>995</v>
      </c>
      <c r="D20" s="882">
        <v>0</v>
      </c>
      <c r="E20" s="579">
        <f>9975*1*2000/100000</f>
        <v>199.5</v>
      </c>
      <c r="F20" s="580">
        <f t="shared" si="1"/>
        <v>199.5</v>
      </c>
      <c r="G20" s="1495"/>
    </row>
    <row r="21" spans="1:9" s="581" customFormat="1" ht="22.5" customHeight="1" x14ac:dyDescent="0.2">
      <c r="A21" s="1496">
        <v>11</v>
      </c>
      <c r="B21" s="1498" t="s">
        <v>655</v>
      </c>
      <c r="C21" s="878" t="s">
        <v>994</v>
      </c>
      <c r="D21" s="882">
        <v>0</v>
      </c>
      <c r="E21" s="579">
        <f>18525*1*1000/100000</f>
        <v>185.25</v>
      </c>
      <c r="F21" s="580">
        <f t="shared" si="1"/>
        <v>185.25</v>
      </c>
      <c r="G21" s="1495" t="s">
        <v>654</v>
      </c>
      <c r="I21" s="56"/>
    </row>
    <row r="22" spans="1:9" s="581" customFormat="1" ht="22.5" customHeight="1" x14ac:dyDescent="0.2">
      <c r="A22" s="1497"/>
      <c r="B22" s="1499"/>
      <c r="C22" s="878" t="s">
        <v>995</v>
      </c>
      <c r="D22" s="882">
        <v>0</v>
      </c>
      <c r="E22" s="579">
        <f>9975*1*1000/100000</f>
        <v>99.75</v>
      </c>
      <c r="F22" s="580">
        <f t="shared" si="1"/>
        <v>99.75</v>
      </c>
      <c r="G22" s="1495"/>
      <c r="I22" s="56"/>
    </row>
    <row r="23" spans="1:9" s="581" customFormat="1" ht="22.5" customHeight="1" x14ac:dyDescent="0.2">
      <c r="A23" s="1496">
        <v>12</v>
      </c>
      <c r="B23" s="1500" t="s">
        <v>758</v>
      </c>
      <c r="C23" s="878" t="s">
        <v>994</v>
      </c>
      <c r="D23" s="882">
        <v>0</v>
      </c>
      <c r="E23" s="883">
        <f>18525*1000*0.00001</f>
        <v>185.25000000000003</v>
      </c>
      <c r="F23" s="884">
        <f t="shared" si="1"/>
        <v>185.25000000000003</v>
      </c>
      <c r="G23" s="1495" t="s">
        <v>760</v>
      </c>
      <c r="I23" s="56"/>
    </row>
    <row r="24" spans="1:9" s="581" customFormat="1" ht="22.5" customHeight="1" x14ac:dyDescent="0.2">
      <c r="A24" s="1497"/>
      <c r="B24" s="1501"/>
      <c r="C24" s="878" t="s">
        <v>995</v>
      </c>
      <c r="D24" s="882">
        <v>0</v>
      </c>
      <c r="E24" s="883">
        <f>9975*1000*0.00001</f>
        <v>99.750000000000014</v>
      </c>
      <c r="F24" s="884">
        <f t="shared" si="1"/>
        <v>99.750000000000014</v>
      </c>
      <c r="G24" s="1495"/>
      <c r="I24" s="56"/>
    </row>
    <row r="25" spans="1:9" s="581" customFormat="1" ht="22.5" customHeight="1" x14ac:dyDescent="0.2">
      <c r="A25" s="1496">
        <v>13</v>
      </c>
      <c r="B25" s="1498" t="s">
        <v>757</v>
      </c>
      <c r="C25" s="872" t="s">
        <v>969</v>
      </c>
      <c r="D25" s="882">
        <v>0</v>
      </c>
      <c r="E25" s="883">
        <f>356138*40*5*0.00001</f>
        <v>712.27600000000007</v>
      </c>
      <c r="F25" s="884">
        <f t="shared" si="1"/>
        <v>712.27600000000007</v>
      </c>
      <c r="G25" s="1495" t="s">
        <v>761</v>
      </c>
      <c r="I25" s="56"/>
    </row>
    <row r="26" spans="1:9" s="581" customFormat="1" ht="22.5" customHeight="1" x14ac:dyDescent="0.2">
      <c r="A26" s="1497"/>
      <c r="B26" s="1499"/>
      <c r="C26" s="878" t="s">
        <v>970</v>
      </c>
      <c r="D26" s="882">
        <v>0</v>
      </c>
      <c r="E26" s="883">
        <f>248816*40*5*0.00001</f>
        <v>497.63200000000006</v>
      </c>
      <c r="F26" s="884">
        <f t="shared" si="1"/>
        <v>497.63200000000006</v>
      </c>
      <c r="G26" s="1495"/>
      <c r="I26" s="56"/>
    </row>
    <row r="27" spans="1:9" ht="22.5" customHeight="1" x14ac:dyDescent="0.2">
      <c r="A27" s="1491">
        <v>14</v>
      </c>
      <c r="B27" s="1493" t="s">
        <v>426</v>
      </c>
      <c r="C27" s="878" t="s">
        <v>422</v>
      </c>
      <c r="D27" s="882">
        <f>(8369.24*3000*0.00001)+7.5%*(8369.24*3000*0.00001)</f>
        <v>269.90799000000004</v>
      </c>
      <c r="E27" s="883">
        <v>0</v>
      </c>
      <c r="F27" s="884">
        <f t="shared" si="1"/>
        <v>269.90799000000004</v>
      </c>
      <c r="G27" s="644" t="s">
        <v>745</v>
      </c>
      <c r="H27" s="581"/>
    </row>
    <row r="28" spans="1:9" ht="22.5" customHeight="1" x14ac:dyDescent="0.2">
      <c r="A28" s="1492"/>
      <c r="B28" s="1494"/>
      <c r="C28" s="878" t="s">
        <v>424</v>
      </c>
      <c r="D28" s="882">
        <f>(8770.76*3000*0.00001)+7.5%*(8770.76*3000*0.00001)</f>
        <v>282.85701000000006</v>
      </c>
      <c r="E28" s="883">
        <v>0</v>
      </c>
      <c r="F28" s="884">
        <f t="shared" si="1"/>
        <v>282.85701000000006</v>
      </c>
      <c r="G28" s="644" t="s">
        <v>745</v>
      </c>
      <c r="H28" s="581"/>
      <c r="I28" s="581"/>
    </row>
    <row r="29" spans="1:9" ht="22.5" customHeight="1" thickBot="1" x14ac:dyDescent="0.25">
      <c r="A29" s="650">
        <v>15</v>
      </c>
      <c r="B29" s="652" t="s">
        <v>427</v>
      </c>
      <c r="C29" s="885"/>
      <c r="D29" s="886">
        <v>0</v>
      </c>
      <c r="E29" s="883">
        <v>40</v>
      </c>
      <c r="F29" s="887">
        <f t="shared" si="1"/>
        <v>40</v>
      </c>
      <c r="G29" s="644" t="s">
        <v>435</v>
      </c>
    </row>
    <row r="30" spans="1:9" ht="22.5" customHeight="1" thickBot="1" x14ac:dyDescent="0.25">
      <c r="A30" s="236"/>
      <c r="B30" s="149" t="s">
        <v>18</v>
      </c>
      <c r="C30" s="148"/>
      <c r="D30" s="288">
        <f>SUM(D5:D29)</f>
        <v>10039.404492015999</v>
      </c>
      <c r="E30" s="289">
        <f>SUM(E5:E29)</f>
        <v>6240.5718749999996</v>
      </c>
      <c r="F30" s="288">
        <f>SUM(F5:F29)</f>
        <v>16279.976367015997</v>
      </c>
      <c r="G30" s="149"/>
    </row>
    <row r="31" spans="1:9" x14ac:dyDescent="0.2">
      <c r="A31" s="65" t="s">
        <v>996</v>
      </c>
      <c r="E31" s="582"/>
    </row>
    <row r="32" spans="1:9" x14ac:dyDescent="0.2">
      <c r="A32" s="1485"/>
      <c r="B32" s="1485"/>
      <c r="E32" s="582"/>
    </row>
  </sheetData>
  <mergeCells count="36">
    <mergeCell ref="G10:G11"/>
    <mergeCell ref="A12:A13"/>
    <mergeCell ref="A1:G1"/>
    <mergeCell ref="A2:G2"/>
    <mergeCell ref="A5:A6"/>
    <mergeCell ref="B5:B6"/>
    <mergeCell ref="A8:A9"/>
    <mergeCell ref="B8:B9"/>
    <mergeCell ref="C8:C9"/>
    <mergeCell ref="D8:D9"/>
    <mergeCell ref="E8:E9"/>
    <mergeCell ref="F8:F9"/>
    <mergeCell ref="G8:G9"/>
    <mergeCell ref="B12:B13"/>
    <mergeCell ref="G12:G13"/>
    <mergeCell ref="A17:A18"/>
    <mergeCell ref="B17:B18"/>
    <mergeCell ref="G17:G18"/>
    <mergeCell ref="A15:A16"/>
    <mergeCell ref="B15:B16"/>
    <mergeCell ref="G15:G16"/>
    <mergeCell ref="A19:A20"/>
    <mergeCell ref="B19:B20"/>
    <mergeCell ref="G19:G20"/>
    <mergeCell ref="A32:B32"/>
    <mergeCell ref="A21:A22"/>
    <mergeCell ref="B21:B22"/>
    <mergeCell ref="G21:G22"/>
    <mergeCell ref="A23:A24"/>
    <mergeCell ref="B23:B24"/>
    <mergeCell ref="G23:G24"/>
    <mergeCell ref="A25:A26"/>
    <mergeCell ref="B25:B26"/>
    <mergeCell ref="G25:G26"/>
    <mergeCell ref="A27:A28"/>
    <mergeCell ref="B27:B28"/>
  </mergeCells>
  <pageMargins left="0.44" right="0.23" top="0.27" bottom="0.26" header="0.17" footer="0.15"/>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2:S36"/>
  <sheetViews>
    <sheetView view="pageBreakPreview" topLeftCell="A6" zoomScaleSheetLayoutView="100" workbookViewId="0">
      <selection activeCell="H11" sqref="H11:L23"/>
    </sheetView>
  </sheetViews>
  <sheetFormatPr defaultRowHeight="12.75" x14ac:dyDescent="0.2"/>
  <cols>
    <col min="1" max="1" width="8" customWidth="1"/>
    <col min="2" max="2" width="11.7109375" customWidth="1"/>
    <col min="3" max="3" width="9.7109375" customWidth="1"/>
    <col min="5" max="5" width="9.5703125" customWidth="1"/>
    <col min="6" max="6" width="9.7109375" customWidth="1"/>
    <col min="7" max="7" width="10.85546875" customWidth="1"/>
    <col min="8" max="8" width="9.85546875" customWidth="1"/>
    <col min="10" max="10" width="10.7109375" customWidth="1"/>
    <col min="11" max="11" width="9.42578125" customWidth="1"/>
    <col min="12" max="12" width="9.85546875" customWidth="1"/>
    <col min="13" max="13" width="8.85546875" customWidth="1"/>
    <col min="14" max="14" width="11" customWidth="1"/>
  </cols>
  <sheetData>
    <row r="2" spans="1:19" ht="12.75" customHeight="1" x14ac:dyDescent="0.2">
      <c r="D2" s="985"/>
      <c r="E2" s="985"/>
      <c r="F2" s="985"/>
      <c r="G2" s="985"/>
      <c r="H2" s="985"/>
      <c r="I2" s="985"/>
      <c r="L2" s="1060" t="s">
        <v>90</v>
      </c>
      <c r="M2" s="1060"/>
      <c r="N2" s="1060"/>
    </row>
    <row r="3" spans="1:19" ht="15.75" x14ac:dyDescent="0.25">
      <c r="A3" s="1056" t="s">
        <v>0</v>
      </c>
      <c r="B3" s="1056"/>
      <c r="C3" s="1056"/>
      <c r="D3" s="1056"/>
      <c r="E3" s="1056"/>
      <c r="F3" s="1056"/>
      <c r="G3" s="1056"/>
      <c r="H3" s="1056"/>
      <c r="I3" s="1056"/>
      <c r="J3" s="1056"/>
      <c r="K3" s="1056"/>
      <c r="L3" s="1056"/>
      <c r="M3" s="1056"/>
      <c r="N3" s="1056"/>
    </row>
    <row r="4" spans="1:19" ht="15.75" x14ac:dyDescent="0.25">
      <c r="A4" s="1056" t="s">
        <v>794</v>
      </c>
      <c r="B4" s="1056"/>
      <c r="C4" s="1056"/>
      <c r="D4" s="1056"/>
      <c r="E4" s="1056"/>
      <c r="F4" s="1056"/>
      <c r="G4" s="1056"/>
      <c r="H4" s="1056"/>
      <c r="I4" s="1056"/>
      <c r="J4" s="1056"/>
      <c r="K4" s="1056"/>
      <c r="L4" s="1056"/>
      <c r="M4" s="1056"/>
      <c r="N4" s="1056"/>
      <c r="O4" s="70"/>
    </row>
    <row r="5" spans="1:19" ht="18" x14ac:dyDescent="0.25">
      <c r="A5" s="1065" t="s">
        <v>798</v>
      </c>
      <c r="B5" s="1065"/>
      <c r="C5" s="1065"/>
      <c r="D5" s="1065"/>
      <c r="E5" s="1065"/>
      <c r="F5" s="1065"/>
      <c r="G5" s="1065"/>
      <c r="H5" s="1065"/>
      <c r="I5" s="1065"/>
      <c r="J5" s="1065"/>
      <c r="K5" s="1065"/>
      <c r="L5" s="1065"/>
      <c r="M5" s="1065"/>
      <c r="N5" s="1065"/>
    </row>
    <row r="7" spans="1:19" x14ac:dyDescent="0.2">
      <c r="A7" s="1068" t="s">
        <v>463</v>
      </c>
      <c r="B7" s="1068"/>
      <c r="C7" s="1068"/>
      <c r="D7" s="468"/>
      <c r="E7" s="468"/>
      <c r="F7" s="468"/>
      <c r="G7" s="468"/>
      <c r="H7" s="468"/>
      <c r="I7" s="468"/>
      <c r="J7" s="468"/>
      <c r="K7" s="470"/>
      <c r="L7" s="1061" t="s">
        <v>910</v>
      </c>
      <c r="M7" s="1061"/>
      <c r="N7" s="1061"/>
    </row>
    <row r="8" spans="1:19" ht="15.75" customHeight="1" x14ac:dyDescent="0.2">
      <c r="A8" s="1066" t="s">
        <v>2</v>
      </c>
      <c r="B8" s="1066" t="s">
        <v>3</v>
      </c>
      <c r="C8" s="1072" t="s">
        <v>4</v>
      </c>
      <c r="D8" s="1072"/>
      <c r="E8" s="1072"/>
      <c r="F8" s="1072"/>
      <c r="G8" s="1072"/>
      <c r="H8" s="1071" t="s">
        <v>108</v>
      </c>
      <c r="I8" s="1071"/>
      <c r="J8" s="1071"/>
      <c r="K8" s="1071"/>
      <c r="L8" s="1071"/>
      <c r="M8" s="1062" t="s">
        <v>146</v>
      </c>
      <c r="N8" s="1064" t="s">
        <v>147</v>
      </c>
    </row>
    <row r="9" spans="1:19" ht="38.25" x14ac:dyDescent="0.2">
      <c r="A9" s="1067"/>
      <c r="B9" s="1067"/>
      <c r="C9" s="195" t="s">
        <v>5</v>
      </c>
      <c r="D9" s="195" t="s">
        <v>6</v>
      </c>
      <c r="E9" s="195" t="s">
        <v>499</v>
      </c>
      <c r="F9" s="195" t="s">
        <v>106</v>
      </c>
      <c r="G9" s="195" t="s">
        <v>500</v>
      </c>
      <c r="H9" s="201" t="s">
        <v>5</v>
      </c>
      <c r="I9" s="195" t="s">
        <v>6</v>
      </c>
      <c r="J9" s="195" t="s">
        <v>499</v>
      </c>
      <c r="K9" s="200" t="s">
        <v>106</v>
      </c>
      <c r="L9" s="4" t="s">
        <v>501</v>
      </c>
      <c r="M9" s="1063"/>
      <c r="N9" s="1064"/>
      <c r="R9" s="9"/>
      <c r="S9" s="9"/>
    </row>
    <row r="10" spans="1:19" s="11" customFormat="1" x14ac:dyDescent="0.2">
      <c r="A10" s="195">
        <v>1</v>
      </c>
      <c r="B10" s="195">
        <v>2</v>
      </c>
      <c r="C10" s="195">
        <v>3</v>
      </c>
      <c r="D10" s="195">
        <v>4</v>
      </c>
      <c r="E10" s="195">
        <v>5</v>
      </c>
      <c r="F10" s="195">
        <v>6</v>
      </c>
      <c r="G10" s="195">
        <v>7</v>
      </c>
      <c r="H10" s="201">
        <v>8</v>
      </c>
      <c r="I10" s="228">
        <v>9</v>
      </c>
      <c r="J10" s="195">
        <v>10</v>
      </c>
      <c r="K10" s="200">
        <v>11</v>
      </c>
      <c r="L10" s="195">
        <v>12</v>
      </c>
      <c r="M10" s="201">
        <v>13</v>
      </c>
      <c r="N10" s="195">
        <v>14</v>
      </c>
    </row>
    <row r="11" spans="1:19" ht="20.100000000000001" customHeight="1" x14ac:dyDescent="0.2">
      <c r="A11" s="194">
        <v>1</v>
      </c>
      <c r="B11" s="225" t="s">
        <v>392</v>
      </c>
      <c r="C11" s="92">
        <v>1416</v>
      </c>
      <c r="D11" s="92">
        <v>2</v>
      </c>
      <c r="E11" s="92">
        <v>0</v>
      </c>
      <c r="F11" s="92">
        <v>0</v>
      </c>
      <c r="G11" s="69">
        <f>C11+D11+E11+F11</f>
        <v>1418</v>
      </c>
      <c r="H11" s="621">
        <v>1369</v>
      </c>
      <c r="I11" s="351">
        <v>2</v>
      </c>
      <c r="J11" s="351">
        <v>0</v>
      </c>
      <c r="K11" s="622">
        <v>0</v>
      </c>
      <c r="L11" s="69">
        <v>1371</v>
      </c>
      <c r="M11" s="613">
        <f>G11-L11</f>
        <v>47</v>
      </c>
      <c r="N11" s="92"/>
    </row>
    <row r="12" spans="1:19" ht="20.100000000000001" customHeight="1" x14ac:dyDescent="0.2">
      <c r="A12" s="194">
        <v>2</v>
      </c>
      <c r="B12" s="225" t="s">
        <v>393</v>
      </c>
      <c r="C12" s="92">
        <v>609</v>
      </c>
      <c r="D12" s="92">
        <v>2</v>
      </c>
      <c r="E12" s="92">
        <v>0</v>
      </c>
      <c r="F12" s="92">
        <v>0</v>
      </c>
      <c r="G12" s="69">
        <f t="shared" ref="G12:G22" si="0">C12+D12+E12+F12</f>
        <v>611</v>
      </c>
      <c r="H12" s="621">
        <v>593</v>
      </c>
      <c r="I12" s="350">
        <v>1</v>
      </c>
      <c r="J12" s="350">
        <v>0</v>
      </c>
      <c r="K12" s="616">
        <v>0</v>
      </c>
      <c r="L12" s="69">
        <v>594</v>
      </c>
      <c r="M12" s="613">
        <f t="shared" ref="M12:M23" si="1">G12-L12</f>
        <v>17</v>
      </c>
      <c r="N12" s="92"/>
    </row>
    <row r="13" spans="1:19" ht="20.100000000000001" customHeight="1" x14ac:dyDescent="0.2">
      <c r="A13" s="194">
        <v>3</v>
      </c>
      <c r="B13" s="225" t="s">
        <v>394</v>
      </c>
      <c r="C13" s="92">
        <v>1039</v>
      </c>
      <c r="D13" s="92">
        <v>0</v>
      </c>
      <c r="E13" s="92">
        <v>0</v>
      </c>
      <c r="F13" s="92">
        <v>0</v>
      </c>
      <c r="G13" s="69">
        <f t="shared" si="0"/>
        <v>1039</v>
      </c>
      <c r="H13" s="621">
        <v>979</v>
      </c>
      <c r="I13" s="350">
        <v>0</v>
      </c>
      <c r="J13" s="350">
        <v>0</v>
      </c>
      <c r="K13" s="616">
        <v>0</v>
      </c>
      <c r="L13" s="69">
        <v>979</v>
      </c>
      <c r="M13" s="613">
        <f t="shared" si="1"/>
        <v>60</v>
      </c>
      <c r="N13" s="92"/>
    </row>
    <row r="14" spans="1:19" ht="20.100000000000001" customHeight="1" x14ac:dyDescent="0.2">
      <c r="A14" s="194">
        <v>4</v>
      </c>
      <c r="B14" s="225" t="s">
        <v>395</v>
      </c>
      <c r="C14" s="92">
        <v>516</v>
      </c>
      <c r="D14" s="92">
        <v>0</v>
      </c>
      <c r="E14" s="92">
        <v>0</v>
      </c>
      <c r="F14" s="92">
        <v>0</v>
      </c>
      <c r="G14" s="69">
        <f t="shared" si="0"/>
        <v>516</v>
      </c>
      <c r="H14" s="621">
        <v>512</v>
      </c>
      <c r="I14" s="350">
        <v>0</v>
      </c>
      <c r="J14" s="350">
        <v>0</v>
      </c>
      <c r="K14" s="616">
        <v>0</v>
      </c>
      <c r="L14" s="69">
        <v>512</v>
      </c>
      <c r="M14" s="613">
        <f t="shared" si="1"/>
        <v>4</v>
      </c>
      <c r="N14" s="92"/>
    </row>
    <row r="15" spans="1:19" ht="20.100000000000001" customHeight="1" x14ac:dyDescent="0.2">
      <c r="A15" s="194">
        <v>5</v>
      </c>
      <c r="B15" s="227" t="s">
        <v>396</v>
      </c>
      <c r="C15" s="92">
        <v>953</v>
      </c>
      <c r="D15" s="92">
        <v>10</v>
      </c>
      <c r="E15" s="92">
        <v>22</v>
      </c>
      <c r="F15" s="92">
        <v>14</v>
      </c>
      <c r="G15" s="69">
        <f t="shared" si="0"/>
        <v>999</v>
      </c>
      <c r="H15" s="621">
        <v>948</v>
      </c>
      <c r="I15" s="350">
        <v>7</v>
      </c>
      <c r="J15" s="350">
        <v>2</v>
      </c>
      <c r="K15" s="616">
        <v>12</v>
      </c>
      <c r="L15" s="69">
        <v>969</v>
      </c>
      <c r="M15" s="613">
        <f t="shared" si="1"/>
        <v>30</v>
      </c>
      <c r="N15" s="92"/>
    </row>
    <row r="16" spans="1:19" ht="20.100000000000001" customHeight="1" x14ac:dyDescent="0.2">
      <c r="A16" s="194">
        <v>6</v>
      </c>
      <c r="B16" s="225" t="s">
        <v>397</v>
      </c>
      <c r="C16" s="92">
        <v>676</v>
      </c>
      <c r="D16" s="92">
        <v>1</v>
      </c>
      <c r="E16" s="92">
        <v>6</v>
      </c>
      <c r="F16" s="92">
        <v>68</v>
      </c>
      <c r="G16" s="69">
        <f t="shared" si="0"/>
        <v>751</v>
      </c>
      <c r="H16" s="621">
        <v>674</v>
      </c>
      <c r="I16" s="350">
        <v>1</v>
      </c>
      <c r="J16" s="350">
        <v>19</v>
      </c>
      <c r="K16" s="616">
        <v>65</v>
      </c>
      <c r="L16" s="69">
        <v>759</v>
      </c>
      <c r="M16" s="774">
        <f t="shared" si="1"/>
        <v>-8</v>
      </c>
      <c r="N16" s="92"/>
    </row>
    <row r="17" spans="1:14" ht="20.100000000000001" customHeight="1" x14ac:dyDescent="0.2">
      <c r="A17" s="194">
        <v>7</v>
      </c>
      <c r="B17" s="227" t="s">
        <v>398</v>
      </c>
      <c r="C17" s="92">
        <v>992</v>
      </c>
      <c r="D17" s="92">
        <v>0</v>
      </c>
      <c r="E17" s="92">
        <v>0</v>
      </c>
      <c r="F17" s="92">
        <v>4</v>
      </c>
      <c r="G17" s="69">
        <f t="shared" si="0"/>
        <v>996</v>
      </c>
      <c r="H17" s="621">
        <v>971</v>
      </c>
      <c r="I17" s="350">
        <v>0</v>
      </c>
      <c r="J17" s="350">
        <v>0</v>
      </c>
      <c r="K17" s="616">
        <v>3</v>
      </c>
      <c r="L17" s="69">
        <v>974</v>
      </c>
      <c r="M17" s="613">
        <f t="shared" si="1"/>
        <v>22</v>
      </c>
      <c r="N17" s="92"/>
    </row>
    <row r="18" spans="1:14" ht="20.100000000000001" customHeight="1" x14ac:dyDescent="0.2">
      <c r="A18" s="194">
        <v>8</v>
      </c>
      <c r="B18" s="225" t="s">
        <v>399</v>
      </c>
      <c r="C18" s="92">
        <v>1699</v>
      </c>
      <c r="D18" s="92">
        <v>1</v>
      </c>
      <c r="E18" s="92">
        <v>0</v>
      </c>
      <c r="F18" s="92">
        <v>0</v>
      </c>
      <c r="G18" s="69">
        <f t="shared" si="0"/>
        <v>1700</v>
      </c>
      <c r="H18" s="621">
        <v>1554</v>
      </c>
      <c r="I18" s="350">
        <v>1</v>
      </c>
      <c r="J18" s="350">
        <v>0</v>
      </c>
      <c r="K18" s="616">
        <v>0</v>
      </c>
      <c r="L18" s="69">
        <v>1555</v>
      </c>
      <c r="M18" s="613">
        <f t="shared" si="1"/>
        <v>145</v>
      </c>
      <c r="N18" s="92"/>
    </row>
    <row r="19" spans="1:14" ht="20.100000000000001" customHeight="1" x14ac:dyDescent="0.2">
      <c r="A19" s="194">
        <v>9</v>
      </c>
      <c r="B19" s="225" t="s">
        <v>400</v>
      </c>
      <c r="C19" s="92">
        <v>1183</v>
      </c>
      <c r="D19" s="92">
        <v>6</v>
      </c>
      <c r="E19" s="92">
        <v>0</v>
      </c>
      <c r="F19" s="92">
        <v>0</v>
      </c>
      <c r="G19" s="69">
        <f t="shared" si="0"/>
        <v>1189</v>
      </c>
      <c r="H19" s="621">
        <v>1111</v>
      </c>
      <c r="I19" s="350">
        <v>1</v>
      </c>
      <c r="J19" s="350">
        <v>0</v>
      </c>
      <c r="K19" s="616">
        <v>0</v>
      </c>
      <c r="L19" s="69">
        <v>1112</v>
      </c>
      <c r="M19" s="613">
        <f t="shared" si="1"/>
        <v>77</v>
      </c>
      <c r="N19" s="92"/>
    </row>
    <row r="20" spans="1:14" ht="20.100000000000001" customHeight="1" x14ac:dyDescent="0.2">
      <c r="A20" s="194">
        <v>10</v>
      </c>
      <c r="B20" s="225" t="s">
        <v>401</v>
      </c>
      <c r="C20" s="92">
        <v>569</v>
      </c>
      <c r="D20" s="92">
        <v>0</v>
      </c>
      <c r="E20" s="92">
        <v>0</v>
      </c>
      <c r="F20" s="92">
        <v>0</v>
      </c>
      <c r="G20" s="69">
        <f t="shared" si="0"/>
        <v>569</v>
      </c>
      <c r="H20" s="621">
        <v>550</v>
      </c>
      <c r="I20" s="350">
        <v>0</v>
      </c>
      <c r="J20" s="350">
        <v>0</v>
      </c>
      <c r="K20" s="616">
        <v>0</v>
      </c>
      <c r="L20" s="69">
        <v>550</v>
      </c>
      <c r="M20" s="613">
        <f t="shared" si="1"/>
        <v>19</v>
      </c>
      <c r="N20" s="92"/>
    </row>
    <row r="21" spans="1:14" ht="20.100000000000001" customHeight="1" x14ac:dyDescent="0.2">
      <c r="A21" s="194">
        <v>11</v>
      </c>
      <c r="B21" s="225" t="s">
        <v>402</v>
      </c>
      <c r="C21" s="92">
        <v>1476</v>
      </c>
      <c r="D21" s="92">
        <v>0</v>
      </c>
      <c r="E21" s="92">
        <v>0</v>
      </c>
      <c r="F21" s="92">
        <v>0</v>
      </c>
      <c r="G21" s="69">
        <f t="shared" si="0"/>
        <v>1476</v>
      </c>
      <c r="H21" s="621">
        <v>1394</v>
      </c>
      <c r="I21" s="350">
        <v>0</v>
      </c>
      <c r="J21" s="350">
        <v>0</v>
      </c>
      <c r="K21" s="616">
        <v>0</v>
      </c>
      <c r="L21" s="69">
        <v>1394</v>
      </c>
      <c r="M21" s="613">
        <f t="shared" si="1"/>
        <v>82</v>
      </c>
      <c r="N21" s="92"/>
    </row>
    <row r="22" spans="1:14" ht="20.100000000000001" customHeight="1" x14ac:dyDescent="0.2">
      <c r="A22" s="194">
        <v>12</v>
      </c>
      <c r="B22" s="225" t="s">
        <v>403</v>
      </c>
      <c r="C22" s="92">
        <v>799</v>
      </c>
      <c r="D22" s="92">
        <v>22</v>
      </c>
      <c r="E22" s="92">
        <v>0</v>
      </c>
      <c r="F22" s="92">
        <v>39</v>
      </c>
      <c r="G22" s="69">
        <f t="shared" si="0"/>
        <v>860</v>
      </c>
      <c r="H22" s="621">
        <v>791</v>
      </c>
      <c r="I22" s="350">
        <v>21</v>
      </c>
      <c r="J22" s="350">
        <v>1</v>
      </c>
      <c r="K22" s="616">
        <v>37</v>
      </c>
      <c r="L22" s="69">
        <v>850</v>
      </c>
      <c r="M22" s="613">
        <f t="shared" si="1"/>
        <v>10</v>
      </c>
      <c r="N22" s="92"/>
    </row>
    <row r="23" spans="1:14" ht="20.100000000000001" customHeight="1" x14ac:dyDescent="0.2">
      <c r="A23" s="194">
        <v>13</v>
      </c>
      <c r="B23" s="225" t="s">
        <v>404</v>
      </c>
      <c r="C23" s="92">
        <v>769</v>
      </c>
      <c r="D23" s="92">
        <v>0</v>
      </c>
      <c r="E23" s="92">
        <v>0</v>
      </c>
      <c r="F23" s="92">
        <v>0</v>
      </c>
      <c r="G23" s="69">
        <f>C23+D23+E23+F23</f>
        <v>769</v>
      </c>
      <c r="H23" s="621">
        <v>737</v>
      </c>
      <c r="I23" s="350">
        <v>0</v>
      </c>
      <c r="J23" s="350">
        <v>0</v>
      </c>
      <c r="K23" s="616">
        <v>0</v>
      </c>
      <c r="L23" s="69">
        <v>737</v>
      </c>
      <c r="M23" s="613">
        <f t="shared" si="1"/>
        <v>32</v>
      </c>
      <c r="N23" s="92"/>
    </row>
    <row r="24" spans="1:14" s="11" customFormat="1" x14ac:dyDescent="0.2">
      <c r="A24" s="194" t="s">
        <v>18</v>
      </c>
      <c r="B24" s="194"/>
      <c r="C24" s="194">
        <f>SUM(C11:C23)</f>
        <v>12696</v>
      </c>
      <c r="D24" s="194">
        <f t="shared" ref="D24:M24" si="2">SUM(D11:D23)</f>
        <v>44</v>
      </c>
      <c r="E24" s="194">
        <f t="shared" si="2"/>
        <v>28</v>
      </c>
      <c r="F24" s="194">
        <f t="shared" si="2"/>
        <v>125</v>
      </c>
      <c r="G24" s="194">
        <f t="shared" si="2"/>
        <v>12893</v>
      </c>
      <c r="H24" s="194">
        <f t="shared" si="2"/>
        <v>12183</v>
      </c>
      <c r="I24" s="194">
        <f t="shared" si="2"/>
        <v>34</v>
      </c>
      <c r="J24" s="194">
        <f t="shared" si="2"/>
        <v>22</v>
      </c>
      <c r="K24" s="194">
        <f t="shared" si="2"/>
        <v>117</v>
      </c>
      <c r="L24" s="194">
        <f t="shared" si="2"/>
        <v>12356</v>
      </c>
      <c r="M24" s="194">
        <f t="shared" si="2"/>
        <v>537</v>
      </c>
      <c r="N24" s="194"/>
    </row>
    <row r="25" spans="1:14" s="11" customFormat="1" x14ac:dyDescent="0.2">
      <c r="A25" s="8"/>
      <c r="B25" s="20"/>
      <c r="C25" s="199"/>
      <c r="D25" s="199"/>
      <c r="E25" s="199"/>
      <c r="F25" s="199"/>
      <c r="G25" s="199"/>
      <c r="H25" s="199"/>
      <c r="I25" s="199"/>
      <c r="J25" s="199"/>
      <c r="K25" s="199"/>
      <c r="L25" s="199"/>
      <c r="M25" s="199"/>
      <c r="N25" s="20"/>
    </row>
    <row r="26" spans="1:14" x14ac:dyDescent="0.2">
      <c r="A26" s="8"/>
      <c r="B26" s="9"/>
      <c r="C26" s="9"/>
      <c r="D26" s="9"/>
      <c r="E26" s="9"/>
      <c r="F26" s="1073"/>
      <c r="G26" s="1073"/>
      <c r="H26" s="9"/>
      <c r="I26" s="1069" t="s">
        <v>945</v>
      </c>
      <c r="J26" s="1069"/>
      <c r="K26" s="1069"/>
      <c r="L26" s="9"/>
      <c r="M26" s="9"/>
    </row>
    <row r="27" spans="1:14" x14ac:dyDescent="0.2">
      <c r="A27" s="7" t="s">
        <v>7</v>
      </c>
      <c r="F27" s="1059"/>
      <c r="G27" s="1059"/>
      <c r="I27" s="1070" t="s">
        <v>839</v>
      </c>
      <c r="J27" s="1070"/>
      <c r="K27" s="1070"/>
      <c r="M27" s="9"/>
    </row>
    <row r="28" spans="1:14" x14ac:dyDescent="0.2">
      <c r="A28" t="s">
        <v>8</v>
      </c>
      <c r="F28" s="1059"/>
      <c r="G28" s="1059"/>
      <c r="I28" s="1070" t="s">
        <v>946</v>
      </c>
      <c r="J28" s="1070"/>
      <c r="K28" s="1070"/>
      <c r="M28" s="9"/>
    </row>
    <row r="29" spans="1:14" x14ac:dyDescent="0.2">
      <c r="F29" s="437"/>
      <c r="G29" s="437"/>
      <c r="I29" s="1070" t="s">
        <v>838</v>
      </c>
      <c r="J29" s="1070"/>
      <c r="K29" s="1070"/>
      <c r="M29" s="9"/>
    </row>
    <row r="30" spans="1:14" x14ac:dyDescent="0.2">
      <c r="F30" s="437"/>
      <c r="G30" s="437"/>
      <c r="I30" s="437"/>
      <c r="J30" s="437"/>
      <c r="M30" s="9"/>
    </row>
    <row r="31" spans="1:14" x14ac:dyDescent="0.2">
      <c r="F31" s="437"/>
      <c r="G31" s="437"/>
      <c r="I31" s="437"/>
      <c r="J31" s="437"/>
      <c r="M31" s="9"/>
    </row>
    <row r="32" spans="1:14" ht="12.75" customHeight="1" x14ac:dyDescent="0.2">
      <c r="A32" s="116"/>
      <c r="B32" s="116"/>
      <c r="C32" s="116"/>
      <c r="D32" s="116"/>
      <c r="E32" s="116"/>
      <c r="I32" s="437"/>
      <c r="J32" s="437"/>
      <c r="K32" s="998" t="s">
        <v>12</v>
      </c>
      <c r="L32" s="998"/>
      <c r="M32" s="998"/>
    </row>
    <row r="33" spans="1:14" ht="12.75" customHeight="1" x14ac:dyDescent="0.2">
      <c r="A33" s="116"/>
      <c r="B33" s="116"/>
      <c r="C33" s="116"/>
      <c r="D33" s="116"/>
      <c r="E33" s="116"/>
      <c r="I33" s="96"/>
      <c r="J33" s="1010" t="s">
        <v>13</v>
      </c>
      <c r="K33" s="1010"/>
      <c r="L33" s="1010"/>
      <c r="M33" s="1010"/>
      <c r="N33" s="1010"/>
    </row>
    <row r="34" spans="1:14" ht="13.5" customHeight="1" x14ac:dyDescent="0.2">
      <c r="A34" s="116"/>
      <c r="B34" s="116"/>
      <c r="C34" s="116"/>
      <c r="D34" s="116"/>
      <c r="E34" s="116"/>
      <c r="I34" s="96"/>
      <c r="J34" s="1010" t="s">
        <v>625</v>
      </c>
      <c r="K34" s="1010"/>
      <c r="L34" s="1010"/>
      <c r="M34" s="1010"/>
      <c r="N34" s="1010"/>
    </row>
    <row r="35" spans="1:14" x14ac:dyDescent="0.2">
      <c r="A35" s="116" t="s">
        <v>11</v>
      </c>
      <c r="C35" s="116"/>
      <c r="D35" s="116"/>
      <c r="E35" s="116"/>
      <c r="I35" s="96"/>
      <c r="J35" s="96"/>
      <c r="K35" s="1" t="s">
        <v>85</v>
      </c>
      <c r="M35" s="1"/>
      <c r="N35" s="55"/>
    </row>
    <row r="36" spans="1:14" x14ac:dyDescent="0.2">
      <c r="A36" s="297"/>
      <c r="B36" s="297"/>
      <c r="C36" s="297"/>
      <c r="D36" s="297"/>
      <c r="E36" s="297"/>
      <c r="F36" s="297"/>
      <c r="G36" s="297"/>
      <c r="H36" s="297"/>
      <c r="I36" s="297"/>
      <c r="J36" s="297"/>
      <c r="K36" s="297"/>
      <c r="L36" s="297"/>
      <c r="M36" s="297"/>
    </row>
  </sheetData>
  <mergeCells count="23">
    <mergeCell ref="J34:N34"/>
    <mergeCell ref="K32:M32"/>
    <mergeCell ref="H8:L8"/>
    <mergeCell ref="C8:G8"/>
    <mergeCell ref="B8:B9"/>
    <mergeCell ref="F26:G26"/>
    <mergeCell ref="J33:N33"/>
    <mergeCell ref="F28:G28"/>
    <mergeCell ref="I28:K28"/>
    <mergeCell ref="I29:K29"/>
    <mergeCell ref="D2:I2"/>
    <mergeCell ref="F27:G27"/>
    <mergeCell ref="A3:N3"/>
    <mergeCell ref="L2:N2"/>
    <mergeCell ref="L7:N7"/>
    <mergeCell ref="M8:M9"/>
    <mergeCell ref="N8:N9"/>
    <mergeCell ref="A5:N5"/>
    <mergeCell ref="A8:A9"/>
    <mergeCell ref="A4:N4"/>
    <mergeCell ref="A7:C7"/>
    <mergeCell ref="I26:K26"/>
    <mergeCell ref="I27:K27"/>
  </mergeCells>
  <phoneticPr fontId="0" type="noConversion"/>
  <printOptions horizontalCentered="1"/>
  <pageMargins left="0.5" right="0.3" top="0.23622047244094491" bottom="0" header="0.31496062992125984" footer="0.23"/>
  <pageSetup paperSize="9"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2"/>
  <sheetViews>
    <sheetView view="pageBreakPreview" topLeftCell="A19" zoomScaleNormal="80" zoomScaleSheetLayoutView="100" workbookViewId="0">
      <selection activeCell="E15" sqref="E15"/>
    </sheetView>
  </sheetViews>
  <sheetFormatPr defaultRowHeight="12.75" x14ac:dyDescent="0.2"/>
  <cols>
    <col min="1" max="1" width="9.5703125" style="56" customWidth="1"/>
    <col min="2" max="2" width="30" style="56" customWidth="1"/>
    <col min="3" max="3" width="23.7109375" style="56" customWidth="1"/>
    <col min="4" max="4" width="16.42578125" style="56" customWidth="1"/>
    <col min="5" max="5" width="12" style="56" customWidth="1"/>
    <col min="6" max="6" width="16.42578125" style="56" customWidth="1"/>
    <col min="7" max="7" width="50.42578125" style="56" customWidth="1"/>
    <col min="8" max="8" width="10" style="56" bestFit="1" customWidth="1"/>
    <col min="9" max="10" width="9.140625" style="56"/>
    <col min="11" max="11" width="9.5703125" style="56" bestFit="1" customWidth="1"/>
    <col min="12" max="16384" width="9.140625" style="56"/>
  </cols>
  <sheetData>
    <row r="1" spans="1:11" ht="18" x14ac:dyDescent="0.25">
      <c r="A1" s="1506" t="s">
        <v>888</v>
      </c>
      <c r="B1" s="1506"/>
      <c r="C1" s="1506"/>
      <c r="D1" s="1506"/>
      <c r="E1" s="1506"/>
      <c r="F1" s="1506"/>
      <c r="G1" s="1506"/>
    </row>
    <row r="2" spans="1:11" ht="18" x14ac:dyDescent="0.25">
      <c r="A2" s="1506" t="s">
        <v>890</v>
      </c>
      <c r="B2" s="1506"/>
      <c r="C2" s="1506"/>
      <c r="D2" s="1506"/>
      <c r="E2" s="1506"/>
      <c r="F2" s="1506"/>
      <c r="G2" s="1506"/>
    </row>
    <row r="3" spans="1:11" ht="15.75" thickBot="1" x14ac:dyDescent="0.3">
      <c r="A3" s="143" t="s">
        <v>410</v>
      </c>
      <c r="B3" s="57"/>
      <c r="C3" s="57"/>
      <c r="D3" s="57"/>
      <c r="E3" s="57"/>
      <c r="F3" s="57"/>
      <c r="G3" s="57" t="s">
        <v>411</v>
      </c>
    </row>
    <row r="4" spans="1:11" ht="26.25" thickBot="1" x14ac:dyDescent="0.25">
      <c r="A4" s="149" t="s">
        <v>412</v>
      </c>
      <c r="B4" s="148" t="s">
        <v>413</v>
      </c>
      <c r="C4" s="149" t="s">
        <v>414</v>
      </c>
      <c r="D4" s="146" t="s">
        <v>415</v>
      </c>
      <c r="E4" s="147" t="s">
        <v>416</v>
      </c>
      <c r="F4" s="148" t="s">
        <v>18</v>
      </c>
      <c r="G4" s="149" t="s">
        <v>417</v>
      </c>
      <c r="K4" s="238"/>
    </row>
    <row r="5" spans="1:11" ht="22.5" customHeight="1" x14ac:dyDescent="0.2">
      <c r="A5" s="1507">
        <v>1</v>
      </c>
      <c r="B5" s="1508" t="s">
        <v>418</v>
      </c>
      <c r="C5" s="874" t="s">
        <v>891</v>
      </c>
      <c r="D5" s="875">
        <f>365687*235*3.72/100000</f>
        <v>3196.8357540000002</v>
      </c>
      <c r="E5" s="876">
        <f>365687*235*0.41/100000</f>
        <v>352.33942449999995</v>
      </c>
      <c r="F5" s="877">
        <f>D5+E5</f>
        <v>3549.1751785000001</v>
      </c>
      <c r="G5" s="609" t="s">
        <v>772</v>
      </c>
      <c r="K5" s="176"/>
    </row>
    <row r="6" spans="1:11" ht="22.5" customHeight="1" x14ac:dyDescent="0.2">
      <c r="A6" s="1504"/>
      <c r="B6" s="1509"/>
      <c r="C6" s="878" t="s">
        <v>973</v>
      </c>
      <c r="D6" s="653">
        <f>259866*5.56*235/100000</f>
        <v>3395.4091559999997</v>
      </c>
      <c r="E6" s="876">
        <f>259866*0.62*235/100000</f>
        <v>378.62476200000003</v>
      </c>
      <c r="F6" s="879">
        <f>D6+E6</f>
        <v>3774.0339179999996</v>
      </c>
      <c r="G6" s="169" t="s">
        <v>773</v>
      </c>
    </row>
    <row r="7" spans="1:11" ht="22.5" customHeight="1" x14ac:dyDescent="0.2">
      <c r="A7" s="644">
        <v>2</v>
      </c>
      <c r="B7" s="287" t="s">
        <v>595</v>
      </c>
      <c r="C7" s="871" t="s">
        <v>651</v>
      </c>
      <c r="D7" s="653">
        <v>0</v>
      </c>
      <c r="E7" s="876">
        <v>0</v>
      </c>
      <c r="F7" s="879">
        <f>D7+E7</f>
        <v>0</v>
      </c>
      <c r="G7" s="333"/>
    </row>
    <row r="8" spans="1:11" ht="18" customHeight="1" x14ac:dyDescent="0.2">
      <c r="A8" s="1491">
        <v>3</v>
      </c>
      <c r="B8" s="1493" t="s">
        <v>419</v>
      </c>
      <c r="C8" s="1496" t="s">
        <v>662</v>
      </c>
      <c r="D8" s="1511">
        <f>(0*2.07)</f>
        <v>0</v>
      </c>
      <c r="E8" s="1513">
        <v>0</v>
      </c>
      <c r="F8" s="1515">
        <f t="shared" ref="F8:F17" si="0">SUM(D8:E8)</f>
        <v>0</v>
      </c>
      <c r="G8" s="1473" t="s">
        <v>759</v>
      </c>
    </row>
    <row r="9" spans="1:11" ht="15" customHeight="1" x14ac:dyDescent="0.2">
      <c r="A9" s="1492"/>
      <c r="B9" s="1494"/>
      <c r="C9" s="1510"/>
      <c r="D9" s="1512"/>
      <c r="E9" s="1514"/>
      <c r="F9" s="1516"/>
      <c r="G9" s="1474"/>
    </row>
    <row r="10" spans="1:11" ht="22.5" customHeight="1" x14ac:dyDescent="0.2">
      <c r="A10" s="644">
        <v>4</v>
      </c>
      <c r="B10" s="287" t="s">
        <v>593</v>
      </c>
      <c r="C10" s="880" t="s">
        <v>661</v>
      </c>
      <c r="D10" s="653">
        <f>0*5000*0.00001</f>
        <v>0</v>
      </c>
      <c r="E10" s="579">
        <v>0</v>
      </c>
      <c r="F10" s="580">
        <f t="shared" si="0"/>
        <v>0</v>
      </c>
      <c r="G10" s="1473" t="s">
        <v>652</v>
      </c>
    </row>
    <row r="11" spans="1:11" ht="22.5" customHeight="1" x14ac:dyDescent="0.2">
      <c r="A11" s="644">
        <v>5</v>
      </c>
      <c r="B11" s="287" t="s">
        <v>594</v>
      </c>
      <c r="C11" s="871" t="s">
        <v>989</v>
      </c>
      <c r="D11" s="881">
        <f>2410*5000*0.00001</f>
        <v>120.50000000000001</v>
      </c>
      <c r="E11" s="579">
        <v>0</v>
      </c>
      <c r="F11" s="580">
        <f t="shared" si="0"/>
        <v>120.50000000000001</v>
      </c>
      <c r="G11" s="1474"/>
    </row>
    <row r="12" spans="1:11" ht="19.5" customHeight="1" x14ac:dyDescent="0.2">
      <c r="A12" s="1504">
        <v>6</v>
      </c>
      <c r="B12" s="1517" t="s">
        <v>421</v>
      </c>
      <c r="C12" s="878" t="s">
        <v>892</v>
      </c>
      <c r="D12" s="653">
        <f>8593.64*10*152.49/100000</f>
        <v>131.04441635999999</v>
      </c>
      <c r="E12" s="579">
        <v>0</v>
      </c>
      <c r="F12" s="580">
        <f t="shared" si="0"/>
        <v>131.04441635999999</v>
      </c>
      <c r="G12" s="1473" t="s">
        <v>599</v>
      </c>
    </row>
    <row r="13" spans="1:11" ht="22.5" customHeight="1" x14ac:dyDescent="0.2">
      <c r="A13" s="1504"/>
      <c r="B13" s="1518"/>
      <c r="C13" s="878" t="s">
        <v>974</v>
      </c>
      <c r="D13" s="653">
        <f>9160.28*152.49*10/100000</f>
        <v>139.68510972000004</v>
      </c>
      <c r="E13" s="579">
        <v>0</v>
      </c>
      <c r="F13" s="580">
        <f t="shared" si="0"/>
        <v>139.68510972000004</v>
      </c>
      <c r="G13" s="1474"/>
    </row>
    <row r="14" spans="1:11" ht="22.5" customHeight="1" x14ac:dyDescent="0.2">
      <c r="A14" s="644">
        <v>7</v>
      </c>
      <c r="B14" s="651" t="s">
        <v>658</v>
      </c>
      <c r="C14" s="878" t="s">
        <v>656</v>
      </c>
      <c r="D14" s="653">
        <v>0</v>
      </c>
      <c r="E14" s="579">
        <v>10</v>
      </c>
      <c r="F14" s="580">
        <f t="shared" si="0"/>
        <v>10</v>
      </c>
      <c r="G14" s="654" t="s">
        <v>657</v>
      </c>
    </row>
    <row r="15" spans="1:11" ht="22.5" customHeight="1" x14ac:dyDescent="0.2">
      <c r="A15" s="1491">
        <v>8</v>
      </c>
      <c r="B15" s="1493" t="s">
        <v>141</v>
      </c>
      <c r="C15" s="878" t="s">
        <v>422</v>
      </c>
      <c r="D15" s="653">
        <f>1.8/100*(D5+D12+D17+D27)</f>
        <v>94.900951086480006</v>
      </c>
      <c r="E15" s="579">
        <v>0</v>
      </c>
      <c r="F15" s="580">
        <f t="shared" si="0"/>
        <v>94.900951086480006</v>
      </c>
      <c r="G15" s="1502" t="s">
        <v>423</v>
      </c>
    </row>
    <row r="16" spans="1:11" ht="22.5" customHeight="1" x14ac:dyDescent="0.2">
      <c r="A16" s="1492"/>
      <c r="B16" s="1494"/>
      <c r="C16" s="878" t="s">
        <v>424</v>
      </c>
      <c r="D16" s="653">
        <f>1.8/100*(D6+D13+D18+D28)</f>
        <v>85.108739322960005</v>
      </c>
      <c r="E16" s="579">
        <v>0</v>
      </c>
      <c r="F16" s="580">
        <f t="shared" si="0"/>
        <v>85.108739322960005</v>
      </c>
      <c r="G16" s="1503"/>
    </row>
    <row r="17" spans="1:9" ht="22.5" customHeight="1" x14ac:dyDescent="0.2">
      <c r="A17" s="1491">
        <v>9</v>
      </c>
      <c r="B17" s="1493" t="s">
        <v>464</v>
      </c>
      <c r="C17" s="878" t="s">
        <v>994</v>
      </c>
      <c r="D17" s="653">
        <f>18525*10*900/100000</f>
        <v>1667.25</v>
      </c>
      <c r="E17" s="579">
        <f>18525*10*1100/100000</f>
        <v>2037.75</v>
      </c>
      <c r="F17" s="580">
        <f t="shared" si="0"/>
        <v>3705</v>
      </c>
      <c r="G17" s="1502" t="s">
        <v>746</v>
      </c>
    </row>
    <row r="18" spans="1:9" ht="22.5" customHeight="1" x14ac:dyDescent="0.2">
      <c r="A18" s="1492"/>
      <c r="B18" s="1494"/>
      <c r="C18" s="878" t="s">
        <v>995</v>
      </c>
      <c r="D18" s="653">
        <f>9975*10*900/100000</f>
        <v>897.75</v>
      </c>
      <c r="E18" s="579">
        <f>9975*10*1100/100000</f>
        <v>1097.25</v>
      </c>
      <c r="F18" s="580">
        <f t="shared" ref="F18:F29" si="1">SUM(D18:E18)</f>
        <v>1995</v>
      </c>
      <c r="G18" s="1503"/>
    </row>
    <row r="19" spans="1:9" ht="22.5" customHeight="1" x14ac:dyDescent="0.2">
      <c r="A19" s="1491">
        <v>10</v>
      </c>
      <c r="B19" s="1493" t="s">
        <v>653</v>
      </c>
      <c r="C19" s="878" t="s">
        <v>994</v>
      </c>
      <c r="D19" s="882">
        <v>0</v>
      </c>
      <c r="E19" s="579">
        <f>18525*1*2000/100000</f>
        <v>370.5</v>
      </c>
      <c r="F19" s="580">
        <f t="shared" si="1"/>
        <v>370.5</v>
      </c>
      <c r="G19" s="1495" t="s">
        <v>747</v>
      </c>
    </row>
    <row r="20" spans="1:9" ht="22.5" customHeight="1" x14ac:dyDescent="0.2">
      <c r="A20" s="1492"/>
      <c r="B20" s="1494"/>
      <c r="C20" s="878" t="s">
        <v>995</v>
      </c>
      <c r="D20" s="882">
        <v>0</v>
      </c>
      <c r="E20" s="579">
        <f>9975*1*2000/100000</f>
        <v>199.5</v>
      </c>
      <c r="F20" s="580">
        <f t="shared" si="1"/>
        <v>199.5</v>
      </c>
      <c r="G20" s="1495"/>
    </row>
    <row r="21" spans="1:9" s="581" customFormat="1" ht="22.5" customHeight="1" x14ac:dyDescent="0.2">
      <c r="A21" s="1496">
        <v>11</v>
      </c>
      <c r="B21" s="1498" t="s">
        <v>655</v>
      </c>
      <c r="C21" s="878" t="s">
        <v>994</v>
      </c>
      <c r="D21" s="882">
        <v>0</v>
      </c>
      <c r="E21" s="579">
        <f>18525*1*1000/100000</f>
        <v>185.25</v>
      </c>
      <c r="F21" s="580">
        <f t="shared" si="1"/>
        <v>185.25</v>
      </c>
      <c r="G21" s="1495" t="s">
        <v>654</v>
      </c>
    </row>
    <row r="22" spans="1:9" s="581" customFormat="1" ht="22.5" customHeight="1" x14ac:dyDescent="0.2">
      <c r="A22" s="1497"/>
      <c r="B22" s="1499"/>
      <c r="C22" s="878" t="s">
        <v>995</v>
      </c>
      <c r="D22" s="882">
        <v>0</v>
      </c>
      <c r="E22" s="579">
        <f>9975*1*1000/100000</f>
        <v>99.75</v>
      </c>
      <c r="F22" s="580">
        <f t="shared" si="1"/>
        <v>99.75</v>
      </c>
      <c r="G22" s="1495"/>
    </row>
    <row r="23" spans="1:9" s="581" customFormat="1" ht="22.5" customHeight="1" x14ac:dyDescent="0.2">
      <c r="A23" s="1496">
        <v>12</v>
      </c>
      <c r="B23" s="1500" t="s">
        <v>758</v>
      </c>
      <c r="C23" s="878" t="s">
        <v>994</v>
      </c>
      <c r="D23" s="882">
        <v>0</v>
      </c>
      <c r="E23" s="883">
        <f>18525*1000*0.00001</f>
        <v>185.25000000000003</v>
      </c>
      <c r="F23" s="884">
        <f t="shared" si="1"/>
        <v>185.25000000000003</v>
      </c>
      <c r="G23" s="1495" t="s">
        <v>760</v>
      </c>
    </row>
    <row r="24" spans="1:9" s="581" customFormat="1" ht="22.5" customHeight="1" x14ac:dyDescent="0.2">
      <c r="A24" s="1497"/>
      <c r="B24" s="1501"/>
      <c r="C24" s="878" t="s">
        <v>995</v>
      </c>
      <c r="D24" s="882">
        <v>0</v>
      </c>
      <c r="E24" s="883">
        <f>9975*1000*0.00001</f>
        <v>99.750000000000014</v>
      </c>
      <c r="F24" s="884">
        <f t="shared" si="1"/>
        <v>99.750000000000014</v>
      </c>
      <c r="G24" s="1495"/>
    </row>
    <row r="25" spans="1:9" s="581" customFormat="1" ht="22.5" customHeight="1" x14ac:dyDescent="0.2">
      <c r="A25" s="1496">
        <v>13</v>
      </c>
      <c r="B25" s="1498" t="s">
        <v>757</v>
      </c>
      <c r="C25" s="872" t="s">
        <v>891</v>
      </c>
      <c r="D25" s="882">
        <v>0</v>
      </c>
      <c r="E25" s="883">
        <f>365687*40*5*0.00001</f>
        <v>731.37400000000002</v>
      </c>
      <c r="F25" s="884">
        <f t="shared" si="1"/>
        <v>731.37400000000002</v>
      </c>
      <c r="G25" s="1495" t="s">
        <v>761</v>
      </c>
    </row>
    <row r="26" spans="1:9" s="581" customFormat="1" ht="22.5" customHeight="1" x14ac:dyDescent="0.2">
      <c r="A26" s="1497"/>
      <c r="B26" s="1499"/>
      <c r="C26" s="878" t="s">
        <v>973</v>
      </c>
      <c r="D26" s="882">
        <v>0</v>
      </c>
      <c r="E26" s="883">
        <f>259866*40*5*0.00001</f>
        <v>519.73200000000008</v>
      </c>
      <c r="F26" s="884">
        <f t="shared" si="1"/>
        <v>519.73200000000008</v>
      </c>
      <c r="G26" s="1495"/>
    </row>
    <row r="27" spans="1:9" ht="22.5" customHeight="1" x14ac:dyDescent="0.2">
      <c r="A27" s="1491">
        <v>14</v>
      </c>
      <c r="B27" s="1493" t="s">
        <v>426</v>
      </c>
      <c r="C27" s="878" t="s">
        <v>422</v>
      </c>
      <c r="D27" s="882">
        <f>(8593.64*3000*0.00001)+7.5%*(8593.64*3000*0.00001)</f>
        <v>277.14489000000003</v>
      </c>
      <c r="E27" s="883">
        <v>0</v>
      </c>
      <c r="F27" s="884">
        <f t="shared" si="1"/>
        <v>277.14489000000003</v>
      </c>
      <c r="G27" s="635" t="s">
        <v>745</v>
      </c>
      <c r="H27" s="581"/>
      <c r="I27" s="581"/>
    </row>
    <row r="28" spans="1:9" ht="22.5" customHeight="1" x14ac:dyDescent="0.2">
      <c r="A28" s="1492"/>
      <c r="B28" s="1494"/>
      <c r="C28" s="878" t="s">
        <v>424</v>
      </c>
      <c r="D28" s="882">
        <f>(9160.28*3000*0.00001)+7.5%*(9160.28*3000*0.00001)</f>
        <v>295.41903000000008</v>
      </c>
      <c r="E28" s="883">
        <v>0</v>
      </c>
      <c r="F28" s="884">
        <f t="shared" si="1"/>
        <v>295.41903000000008</v>
      </c>
      <c r="G28" s="635" t="s">
        <v>745</v>
      </c>
      <c r="H28" s="581"/>
      <c r="I28" s="581"/>
    </row>
    <row r="29" spans="1:9" ht="22.5" customHeight="1" thickBot="1" x14ac:dyDescent="0.25">
      <c r="A29" s="650">
        <v>15</v>
      </c>
      <c r="B29" s="652" t="s">
        <v>427</v>
      </c>
      <c r="C29" s="885"/>
      <c r="D29" s="886">
        <v>0</v>
      </c>
      <c r="E29" s="883">
        <v>40</v>
      </c>
      <c r="F29" s="887">
        <f t="shared" si="1"/>
        <v>40</v>
      </c>
      <c r="G29" s="237" t="s">
        <v>435</v>
      </c>
    </row>
    <row r="30" spans="1:9" ht="22.5" customHeight="1" thickBot="1" x14ac:dyDescent="0.25">
      <c r="A30" s="236"/>
      <c r="B30" s="149" t="s">
        <v>18</v>
      </c>
      <c r="C30" s="148"/>
      <c r="D30" s="288">
        <f>SUM(D5:D29)</f>
        <v>10301.048046489439</v>
      </c>
      <c r="E30" s="289">
        <f>SUM(E5:E29)</f>
        <v>6307.0701864999992</v>
      </c>
      <c r="F30" s="288">
        <f>SUM(F5:F29)</f>
        <v>16608.11823298944</v>
      </c>
      <c r="G30" s="149"/>
    </row>
    <row r="31" spans="1:9" x14ac:dyDescent="0.2">
      <c r="A31" s="65" t="s">
        <v>996</v>
      </c>
      <c r="E31" s="582"/>
    </row>
    <row r="32" spans="1:9" x14ac:dyDescent="0.2">
      <c r="A32" s="1485"/>
      <c r="B32" s="1485"/>
      <c r="E32" s="582"/>
    </row>
  </sheetData>
  <mergeCells count="36">
    <mergeCell ref="A1:G1"/>
    <mergeCell ref="G10:G11"/>
    <mergeCell ref="B21:B22"/>
    <mergeCell ref="A21:A22"/>
    <mergeCell ref="B19:B20"/>
    <mergeCell ref="A19:A20"/>
    <mergeCell ref="G19:G20"/>
    <mergeCell ref="G21:G22"/>
    <mergeCell ref="A17:A18"/>
    <mergeCell ref="B17:B18"/>
    <mergeCell ref="G17:G18"/>
    <mergeCell ref="G12:G13"/>
    <mergeCell ref="G15:G16"/>
    <mergeCell ref="A2:G2"/>
    <mergeCell ref="A5:A6"/>
    <mergeCell ref="B5:B6"/>
    <mergeCell ref="A27:A28"/>
    <mergeCell ref="B27:B28"/>
    <mergeCell ref="A32:B32"/>
    <mergeCell ref="A12:A13"/>
    <mergeCell ref="B12:B13"/>
    <mergeCell ref="A15:A16"/>
    <mergeCell ref="B15:B16"/>
    <mergeCell ref="A23:A24"/>
    <mergeCell ref="B23:B24"/>
    <mergeCell ref="B25:B26"/>
    <mergeCell ref="A25:A26"/>
    <mergeCell ref="G23:G24"/>
    <mergeCell ref="G25:G26"/>
    <mergeCell ref="F8:F9"/>
    <mergeCell ref="G8:G9"/>
    <mergeCell ref="A8:A9"/>
    <mergeCell ref="B8:B9"/>
    <mergeCell ref="C8:C9"/>
    <mergeCell ref="D8:D9"/>
    <mergeCell ref="E8:E9"/>
  </mergeCells>
  <pageMargins left="0.44" right="0.23" top="0.27" bottom="0.26" header="0.17" footer="0.15"/>
  <pageSetup paperSize="9" scale="87"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K25"/>
  <sheetViews>
    <sheetView view="pageBreakPreview" topLeftCell="A14" zoomScale="112" zoomScaleSheetLayoutView="112" workbookViewId="0">
      <selection activeCell="D14" sqref="D14:K25"/>
    </sheetView>
  </sheetViews>
  <sheetFormatPr defaultRowHeight="12.75" x14ac:dyDescent="0.2"/>
  <sheetData>
    <row r="2" spans="2:11" x14ac:dyDescent="0.2">
      <c r="B2" s="11"/>
    </row>
    <row r="4" spans="2:11" ht="12.75" customHeight="1" x14ac:dyDescent="0.2"/>
    <row r="5" spans="2:11" ht="12.75" customHeight="1" x14ac:dyDescent="0.2"/>
    <row r="6" spans="2:11" ht="12.75" customHeight="1" x14ac:dyDescent="0.2"/>
    <row r="7" spans="2:11" ht="12.75" customHeight="1" x14ac:dyDescent="0.2"/>
    <row r="8" spans="2:11" ht="12.75" customHeight="1" x14ac:dyDescent="0.2"/>
    <row r="9" spans="2:11" ht="12.75" customHeight="1" x14ac:dyDescent="0.2"/>
    <row r="10" spans="2:11" ht="12.75" customHeight="1" x14ac:dyDescent="0.2"/>
    <row r="11" spans="2:11" ht="12.75" customHeight="1" x14ac:dyDescent="0.2"/>
    <row r="12" spans="2:11" ht="12.75" customHeight="1" x14ac:dyDescent="0.2"/>
    <row r="13" spans="2:11" ht="12.75" customHeight="1" x14ac:dyDescent="0.2"/>
    <row r="14" spans="2:11" ht="12.75" customHeight="1" x14ac:dyDescent="0.2">
      <c r="D14" s="947" t="s">
        <v>975</v>
      </c>
      <c r="E14" s="947"/>
      <c r="F14" s="947"/>
      <c r="G14" s="947"/>
      <c r="H14" s="947"/>
      <c r="I14" s="947"/>
      <c r="J14" s="947"/>
      <c r="K14" s="947"/>
    </row>
    <row r="15" spans="2:11" ht="12.75" customHeight="1" x14ac:dyDescent="0.2">
      <c r="D15" s="947"/>
      <c r="E15" s="947"/>
      <c r="F15" s="947"/>
      <c r="G15" s="947"/>
      <c r="H15" s="947"/>
      <c r="I15" s="947"/>
      <c r="J15" s="947"/>
      <c r="K15" s="947"/>
    </row>
    <row r="16" spans="2:11" ht="12.75" customHeight="1" x14ac:dyDescent="0.2">
      <c r="D16" s="947"/>
      <c r="E16" s="947"/>
      <c r="F16" s="947"/>
      <c r="G16" s="947"/>
      <c r="H16" s="947"/>
      <c r="I16" s="947"/>
      <c r="J16" s="947"/>
      <c r="K16" s="947"/>
    </row>
    <row r="17" spans="4:11" ht="12.75" customHeight="1" x14ac:dyDescent="0.2">
      <c r="D17" s="947"/>
      <c r="E17" s="947"/>
      <c r="F17" s="947"/>
      <c r="G17" s="947"/>
      <c r="H17" s="947"/>
      <c r="I17" s="947"/>
      <c r="J17" s="947"/>
      <c r="K17" s="947"/>
    </row>
    <row r="18" spans="4:11" ht="12.75" customHeight="1" x14ac:dyDescent="0.2">
      <c r="D18" s="947"/>
      <c r="E18" s="947"/>
      <c r="F18" s="947"/>
      <c r="G18" s="947"/>
      <c r="H18" s="947"/>
      <c r="I18" s="947"/>
      <c r="J18" s="947"/>
      <c r="K18" s="947"/>
    </row>
    <row r="19" spans="4:11" ht="12.75" customHeight="1" x14ac:dyDescent="0.2">
      <c r="D19" s="947"/>
      <c r="E19" s="947"/>
      <c r="F19" s="947"/>
      <c r="G19" s="947"/>
      <c r="H19" s="947"/>
      <c r="I19" s="947"/>
      <c r="J19" s="947"/>
      <c r="K19" s="947"/>
    </row>
    <row r="20" spans="4:11" ht="12.75" customHeight="1" x14ac:dyDescent="0.2">
      <c r="D20" s="947"/>
      <c r="E20" s="947"/>
      <c r="F20" s="947"/>
      <c r="G20" s="947"/>
      <c r="H20" s="947"/>
      <c r="I20" s="947"/>
      <c r="J20" s="947"/>
      <c r="K20" s="947"/>
    </row>
    <row r="21" spans="4:11" ht="12.75" customHeight="1" x14ac:dyDescent="0.2">
      <c r="D21" s="947"/>
      <c r="E21" s="947"/>
      <c r="F21" s="947"/>
      <c r="G21" s="947"/>
      <c r="H21" s="947"/>
      <c r="I21" s="947"/>
      <c r="J21" s="947"/>
      <c r="K21" s="947"/>
    </row>
    <row r="22" spans="4:11" ht="12.75" customHeight="1" x14ac:dyDescent="0.2">
      <c r="D22" s="947"/>
      <c r="E22" s="947"/>
      <c r="F22" s="947"/>
      <c r="G22" s="947"/>
      <c r="H22" s="947"/>
      <c r="I22" s="947"/>
      <c r="J22" s="947"/>
      <c r="K22" s="947"/>
    </row>
    <row r="23" spans="4:11" ht="12.75" customHeight="1" x14ac:dyDescent="0.2">
      <c r="D23" s="947"/>
      <c r="E23" s="947"/>
      <c r="F23" s="947"/>
      <c r="G23" s="947"/>
      <c r="H23" s="947"/>
      <c r="I23" s="947"/>
      <c r="J23" s="947"/>
      <c r="K23" s="947"/>
    </row>
    <row r="24" spans="4:11" x14ac:dyDescent="0.2">
      <c r="D24" s="947"/>
      <c r="E24" s="947"/>
      <c r="F24" s="947"/>
      <c r="G24" s="947"/>
      <c r="H24" s="947"/>
      <c r="I24" s="947"/>
      <c r="J24" s="947"/>
      <c r="K24" s="947"/>
    </row>
    <row r="25" spans="4:11" x14ac:dyDescent="0.2">
      <c r="D25" s="947"/>
      <c r="E25" s="947"/>
      <c r="F25" s="947"/>
      <c r="G25" s="947"/>
      <c r="H25" s="947"/>
      <c r="I25" s="947"/>
      <c r="J25" s="947"/>
      <c r="K25" s="947"/>
    </row>
  </sheetData>
  <mergeCells count="1">
    <mergeCell ref="D14:K25"/>
  </mergeCells>
  <pageMargins left="0.70866141732283472" right="0.70866141732283472" top="0.74803149606299213" bottom="0.74803149606299213" header="0.31496062992125984" footer="0.31496062992125984"/>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32"/>
  <sheetViews>
    <sheetView view="pageBreakPreview" topLeftCell="A13" zoomScaleNormal="80" zoomScaleSheetLayoutView="100" workbookViewId="0">
      <selection activeCell="I10" sqref="I10"/>
    </sheetView>
  </sheetViews>
  <sheetFormatPr defaultRowHeight="12.75" x14ac:dyDescent="0.2"/>
  <cols>
    <col min="1" max="1" width="9.5703125" style="665" customWidth="1"/>
    <col min="2" max="2" width="30" style="665" customWidth="1"/>
    <col min="3" max="3" width="23.7109375" style="665" customWidth="1"/>
    <col min="4" max="4" width="16.42578125" style="665" customWidth="1"/>
    <col min="5" max="5" width="12" style="665" customWidth="1"/>
    <col min="6" max="6" width="16.42578125" style="665" customWidth="1"/>
    <col min="7" max="7" width="50.42578125" style="665" customWidth="1"/>
    <col min="8" max="10" width="9.140625" style="665"/>
    <col min="11" max="11" width="9.5703125" style="665" bestFit="1" customWidth="1"/>
    <col min="12" max="16384" width="9.140625" style="665"/>
  </cols>
  <sheetData>
    <row r="1" spans="1:11" ht="18" x14ac:dyDescent="0.25">
      <c r="A1" s="1522" t="s">
        <v>888</v>
      </c>
      <c r="B1" s="1522"/>
      <c r="C1" s="1522"/>
      <c r="D1" s="1522"/>
      <c r="E1" s="1522"/>
      <c r="F1" s="1522"/>
      <c r="G1" s="1522"/>
    </row>
    <row r="2" spans="1:11" ht="18" x14ac:dyDescent="0.25">
      <c r="A2" s="1522" t="s">
        <v>775</v>
      </c>
      <c r="B2" s="1522"/>
      <c r="C2" s="1522"/>
      <c r="D2" s="1522"/>
      <c r="E2" s="1522"/>
      <c r="F2" s="1522"/>
      <c r="G2" s="1522"/>
    </row>
    <row r="3" spans="1:11" ht="15.75" thickBot="1" x14ac:dyDescent="0.3">
      <c r="A3" s="666" t="s">
        <v>410</v>
      </c>
      <c r="B3" s="667"/>
      <c r="C3" s="667"/>
      <c r="D3" s="667"/>
      <c r="E3" s="667"/>
      <c r="F3" s="667"/>
      <c r="G3" s="667" t="s">
        <v>411</v>
      </c>
    </row>
    <row r="4" spans="1:11" ht="26.25" thickBot="1" x14ac:dyDescent="0.25">
      <c r="A4" s="668" t="s">
        <v>412</v>
      </c>
      <c r="B4" s="669" t="s">
        <v>413</v>
      </c>
      <c r="C4" s="668" t="s">
        <v>414</v>
      </c>
      <c r="D4" s="670" t="s">
        <v>415</v>
      </c>
      <c r="E4" s="671" t="s">
        <v>416</v>
      </c>
      <c r="F4" s="669" t="s">
        <v>18</v>
      </c>
      <c r="G4" s="668" t="s">
        <v>417</v>
      </c>
      <c r="K4" s="672"/>
    </row>
    <row r="5" spans="1:11" ht="22.5" customHeight="1" x14ac:dyDescent="0.2">
      <c r="A5" s="1523">
        <v>1</v>
      </c>
      <c r="B5" s="1524" t="s">
        <v>418</v>
      </c>
      <c r="C5" s="673" t="s">
        <v>776</v>
      </c>
      <c r="D5" s="674">
        <f>4195*237*3.72/100000</f>
        <v>36.984798000000005</v>
      </c>
      <c r="E5" s="675">
        <f>4195*237*0.41/100000</f>
        <v>4.0762814999999994</v>
      </c>
      <c r="F5" s="676">
        <f>D5+E5</f>
        <v>41.061079500000005</v>
      </c>
      <c r="G5" s="677" t="s">
        <v>772</v>
      </c>
      <c r="K5" s="678"/>
    </row>
    <row r="6" spans="1:11" ht="22.5" customHeight="1" x14ac:dyDescent="0.2">
      <c r="A6" s="1521"/>
      <c r="B6" s="1525"/>
      <c r="C6" s="679" t="s">
        <v>777</v>
      </c>
      <c r="D6" s="680">
        <f>1825*5.56*237/100000</f>
        <v>24.048390000000001</v>
      </c>
      <c r="E6" s="675">
        <f>1825*0.62*237/100000</f>
        <v>2.6816550000000001</v>
      </c>
      <c r="F6" s="681">
        <f>D6+E6</f>
        <v>26.730045</v>
      </c>
      <c r="G6" s="682" t="s">
        <v>773</v>
      </c>
    </row>
    <row r="7" spans="1:11" ht="22.5" customHeight="1" x14ac:dyDescent="0.2">
      <c r="A7" s="683">
        <v>2</v>
      </c>
      <c r="B7" s="684" t="s">
        <v>595</v>
      </c>
      <c r="C7" s="683" t="s">
        <v>651</v>
      </c>
      <c r="D7" s="680">
        <v>0</v>
      </c>
      <c r="E7" s="675">
        <v>0</v>
      </c>
      <c r="F7" s="681">
        <f>D7+E7</f>
        <v>0</v>
      </c>
      <c r="G7" s="685"/>
    </row>
    <row r="8" spans="1:11" ht="18" customHeight="1" x14ac:dyDescent="0.2">
      <c r="A8" s="1526">
        <v>3</v>
      </c>
      <c r="B8" s="1528" t="s">
        <v>419</v>
      </c>
      <c r="C8" s="1526" t="s">
        <v>662</v>
      </c>
      <c r="D8" s="1531">
        <f>(0*2.07)</f>
        <v>0</v>
      </c>
      <c r="E8" s="1533">
        <v>0</v>
      </c>
      <c r="F8" s="1535">
        <f t="shared" ref="F8:F17" si="0">SUM(D8:E8)</f>
        <v>0</v>
      </c>
      <c r="G8" s="1519" t="s">
        <v>759</v>
      </c>
    </row>
    <row r="9" spans="1:11" ht="15" customHeight="1" x14ac:dyDescent="0.2">
      <c r="A9" s="1527"/>
      <c r="B9" s="1529"/>
      <c r="C9" s="1530"/>
      <c r="D9" s="1532"/>
      <c r="E9" s="1534"/>
      <c r="F9" s="1536"/>
      <c r="G9" s="1520"/>
    </row>
    <row r="10" spans="1:11" ht="22.5" customHeight="1" x14ac:dyDescent="0.2">
      <c r="A10" s="683">
        <v>4</v>
      </c>
      <c r="B10" s="684" t="s">
        <v>593</v>
      </c>
      <c r="C10" s="686" t="s">
        <v>778</v>
      </c>
      <c r="D10" s="687">
        <f>44*5000*0.00001</f>
        <v>2.2000000000000002</v>
      </c>
      <c r="E10" s="688">
        <v>0</v>
      </c>
      <c r="F10" s="689">
        <f t="shared" si="0"/>
        <v>2.2000000000000002</v>
      </c>
      <c r="G10" s="1519" t="s">
        <v>652</v>
      </c>
    </row>
    <row r="11" spans="1:11" ht="22.5" customHeight="1" x14ac:dyDescent="0.2">
      <c r="A11" s="683">
        <v>5</v>
      </c>
      <c r="B11" s="684" t="s">
        <v>594</v>
      </c>
      <c r="C11" s="857" t="s">
        <v>778</v>
      </c>
      <c r="D11" s="690">
        <f>0*5000*0.00001</f>
        <v>0</v>
      </c>
      <c r="E11" s="691">
        <v>0</v>
      </c>
      <c r="F11" s="692">
        <f t="shared" si="0"/>
        <v>0</v>
      </c>
      <c r="G11" s="1520"/>
    </row>
    <row r="12" spans="1:11" ht="19.5" customHeight="1" x14ac:dyDescent="0.2">
      <c r="A12" s="1521">
        <v>6</v>
      </c>
      <c r="B12" s="1537" t="s">
        <v>421</v>
      </c>
      <c r="C12" s="679" t="s">
        <v>779</v>
      </c>
      <c r="D12" s="680">
        <f>99.42*10*152.49/100000</f>
        <v>1.5160555800000002</v>
      </c>
      <c r="E12" s="691">
        <v>0</v>
      </c>
      <c r="F12" s="692">
        <f t="shared" si="0"/>
        <v>1.5160555800000002</v>
      </c>
      <c r="G12" s="1519" t="s">
        <v>599</v>
      </c>
    </row>
    <row r="13" spans="1:11" ht="22.5" customHeight="1" x14ac:dyDescent="0.2">
      <c r="A13" s="1521"/>
      <c r="B13" s="1538"/>
      <c r="C13" s="679" t="s">
        <v>780</v>
      </c>
      <c r="D13" s="680">
        <f>64.88*152.49*10/100000</f>
        <v>0.98935512000000003</v>
      </c>
      <c r="E13" s="691">
        <v>0</v>
      </c>
      <c r="F13" s="692">
        <f t="shared" si="0"/>
        <v>0.98935512000000003</v>
      </c>
      <c r="G13" s="1520"/>
    </row>
    <row r="14" spans="1:11" ht="22.5" customHeight="1" x14ac:dyDescent="0.2">
      <c r="A14" s="683">
        <v>7</v>
      </c>
      <c r="B14" s="693" t="s">
        <v>658</v>
      </c>
      <c r="C14" s="679" t="s">
        <v>656</v>
      </c>
      <c r="D14" s="687">
        <v>0</v>
      </c>
      <c r="E14" s="688">
        <v>0</v>
      </c>
      <c r="F14" s="689">
        <f t="shared" si="0"/>
        <v>0</v>
      </c>
      <c r="G14" s="694" t="s">
        <v>657</v>
      </c>
    </row>
    <row r="15" spans="1:11" ht="22.5" customHeight="1" x14ac:dyDescent="0.2">
      <c r="A15" s="1526">
        <v>8</v>
      </c>
      <c r="B15" s="1528" t="s">
        <v>141</v>
      </c>
      <c r="C15" s="679" t="s">
        <v>422</v>
      </c>
      <c r="D15" s="680">
        <f>1.8/100*(D5+D12+D17+D27)</f>
        <v>0.89814867444000013</v>
      </c>
      <c r="E15" s="691">
        <v>0</v>
      </c>
      <c r="F15" s="692">
        <f t="shared" si="0"/>
        <v>0.89814867444000013</v>
      </c>
      <c r="G15" s="1539" t="s">
        <v>423</v>
      </c>
    </row>
    <row r="16" spans="1:11" ht="22.5" customHeight="1" x14ac:dyDescent="0.2">
      <c r="A16" s="1527"/>
      <c r="B16" s="1529"/>
      <c r="C16" s="679" t="s">
        <v>424</v>
      </c>
      <c r="D16" s="680">
        <f>1.8/100*(D6+D13+D18+D28)</f>
        <v>0.57420225216000009</v>
      </c>
      <c r="E16" s="691">
        <v>0</v>
      </c>
      <c r="F16" s="692">
        <f t="shared" si="0"/>
        <v>0.57420225216000009</v>
      </c>
      <c r="G16" s="1540"/>
    </row>
    <row r="17" spans="1:9" ht="22.5" customHeight="1" x14ac:dyDescent="0.2">
      <c r="A17" s="1526">
        <v>9</v>
      </c>
      <c r="B17" s="1528" t="s">
        <v>464</v>
      </c>
      <c r="C17" s="679" t="s">
        <v>781</v>
      </c>
      <c r="D17" s="680">
        <f>91*10*900/100000</f>
        <v>8.19</v>
      </c>
      <c r="E17" s="691">
        <f>91*10*1100/100000</f>
        <v>10.01</v>
      </c>
      <c r="F17" s="692">
        <f t="shared" si="0"/>
        <v>18.2</v>
      </c>
      <c r="G17" s="1539" t="s">
        <v>746</v>
      </c>
    </row>
    <row r="18" spans="1:9" ht="22.5" customHeight="1" x14ac:dyDescent="0.2">
      <c r="A18" s="1527"/>
      <c r="B18" s="1529"/>
      <c r="C18" s="679" t="s">
        <v>782</v>
      </c>
      <c r="D18" s="680">
        <f>53*10*900/100000</f>
        <v>4.7699999999999996</v>
      </c>
      <c r="E18" s="691">
        <f>53*10*1100/100000</f>
        <v>5.83</v>
      </c>
      <c r="F18" s="692">
        <f t="shared" ref="F18:F29" si="1">SUM(D18:E18)</f>
        <v>10.6</v>
      </c>
      <c r="G18" s="1540"/>
    </row>
    <row r="19" spans="1:9" ht="22.5" customHeight="1" x14ac:dyDescent="0.2">
      <c r="A19" s="1526">
        <v>10</v>
      </c>
      <c r="B19" s="1528" t="s">
        <v>653</v>
      </c>
      <c r="C19" s="679" t="s">
        <v>781</v>
      </c>
      <c r="D19" s="695">
        <v>0</v>
      </c>
      <c r="E19" s="691">
        <f>91*1*2000/100000</f>
        <v>1.82</v>
      </c>
      <c r="F19" s="692">
        <f t="shared" si="1"/>
        <v>1.82</v>
      </c>
      <c r="G19" s="1541" t="s">
        <v>747</v>
      </c>
    </row>
    <row r="20" spans="1:9" ht="22.5" customHeight="1" x14ac:dyDescent="0.2">
      <c r="A20" s="1527"/>
      <c r="B20" s="1529"/>
      <c r="C20" s="679" t="s">
        <v>782</v>
      </c>
      <c r="D20" s="695">
        <v>0</v>
      </c>
      <c r="E20" s="691">
        <f>53*1*2000/100000</f>
        <v>1.06</v>
      </c>
      <c r="F20" s="692">
        <f t="shared" si="1"/>
        <v>1.06</v>
      </c>
      <c r="G20" s="1541"/>
    </row>
    <row r="21" spans="1:9" s="697" customFormat="1" ht="22.5" customHeight="1" x14ac:dyDescent="0.2">
      <c r="A21" s="1543">
        <v>11</v>
      </c>
      <c r="B21" s="1545" t="s">
        <v>655</v>
      </c>
      <c r="C21" s="679" t="s">
        <v>781</v>
      </c>
      <c r="D21" s="696">
        <v>0</v>
      </c>
      <c r="E21" s="688">
        <f>91*1*1000/100000</f>
        <v>0.91</v>
      </c>
      <c r="F21" s="689">
        <f t="shared" si="1"/>
        <v>0.91</v>
      </c>
      <c r="G21" s="1541" t="s">
        <v>654</v>
      </c>
    </row>
    <row r="22" spans="1:9" s="697" customFormat="1" ht="22.5" customHeight="1" x14ac:dyDescent="0.2">
      <c r="A22" s="1544"/>
      <c r="B22" s="1546"/>
      <c r="C22" s="679" t="s">
        <v>782</v>
      </c>
      <c r="D22" s="696">
        <v>0</v>
      </c>
      <c r="E22" s="688">
        <f>53*1*1000/100000</f>
        <v>0.53</v>
      </c>
      <c r="F22" s="689">
        <f t="shared" si="1"/>
        <v>0.53</v>
      </c>
      <c r="G22" s="1541"/>
    </row>
    <row r="23" spans="1:9" s="697" customFormat="1" ht="22.5" customHeight="1" x14ac:dyDescent="0.2">
      <c r="A23" s="1543">
        <v>12</v>
      </c>
      <c r="B23" s="1547" t="s">
        <v>758</v>
      </c>
      <c r="C23" s="679" t="s">
        <v>781</v>
      </c>
      <c r="D23" s="696">
        <v>0</v>
      </c>
      <c r="E23" s="698">
        <f>91*1000*0.00001</f>
        <v>0.91</v>
      </c>
      <c r="F23" s="699">
        <f t="shared" si="1"/>
        <v>0.91</v>
      </c>
      <c r="G23" s="1541" t="s">
        <v>760</v>
      </c>
    </row>
    <row r="24" spans="1:9" s="697" customFormat="1" ht="22.5" customHeight="1" x14ac:dyDescent="0.2">
      <c r="A24" s="1544"/>
      <c r="B24" s="1548"/>
      <c r="C24" s="679" t="s">
        <v>782</v>
      </c>
      <c r="D24" s="696">
        <v>0</v>
      </c>
      <c r="E24" s="698">
        <f>53*1000*0.00001</f>
        <v>0.53</v>
      </c>
      <c r="F24" s="699">
        <f t="shared" si="1"/>
        <v>0.53</v>
      </c>
      <c r="G24" s="1541"/>
    </row>
    <row r="25" spans="1:9" s="697" customFormat="1" ht="22.5" customHeight="1" x14ac:dyDescent="0.2">
      <c r="A25" s="1543">
        <v>13</v>
      </c>
      <c r="B25" s="1545" t="s">
        <v>757</v>
      </c>
      <c r="C25" s="700" t="s">
        <v>776</v>
      </c>
      <c r="D25" s="696">
        <v>0</v>
      </c>
      <c r="E25" s="698">
        <f>4195*40*5*0.00001</f>
        <v>8.39</v>
      </c>
      <c r="F25" s="699">
        <f t="shared" si="1"/>
        <v>8.39</v>
      </c>
      <c r="G25" s="1541" t="s">
        <v>761</v>
      </c>
    </row>
    <row r="26" spans="1:9" s="697" customFormat="1" ht="22.5" customHeight="1" x14ac:dyDescent="0.2">
      <c r="A26" s="1544"/>
      <c r="B26" s="1546"/>
      <c r="C26" s="679" t="s">
        <v>777</v>
      </c>
      <c r="D26" s="696">
        <v>0</v>
      </c>
      <c r="E26" s="698">
        <f>1825*40*5*0.00001</f>
        <v>3.6500000000000004</v>
      </c>
      <c r="F26" s="699">
        <f t="shared" si="1"/>
        <v>3.6500000000000004</v>
      </c>
      <c r="G26" s="1541"/>
    </row>
    <row r="27" spans="1:9" ht="22.5" customHeight="1" x14ac:dyDescent="0.2">
      <c r="A27" s="1526">
        <v>14</v>
      </c>
      <c r="B27" s="1528" t="s">
        <v>426</v>
      </c>
      <c r="C27" s="679" t="s">
        <v>422</v>
      </c>
      <c r="D27" s="695">
        <f>(99.42*3000*0.00001)+7.5%*(99.42*3000*0.00001)</f>
        <v>3.2062950000000003</v>
      </c>
      <c r="E27" s="701">
        <v>0</v>
      </c>
      <c r="F27" s="702">
        <f t="shared" si="1"/>
        <v>3.2062950000000003</v>
      </c>
      <c r="G27" s="683" t="s">
        <v>745</v>
      </c>
      <c r="H27" s="697"/>
      <c r="I27" s="697"/>
    </row>
    <row r="28" spans="1:9" ht="22.5" customHeight="1" x14ac:dyDescent="0.2">
      <c r="A28" s="1527"/>
      <c r="B28" s="1529"/>
      <c r="C28" s="679" t="s">
        <v>424</v>
      </c>
      <c r="D28" s="695">
        <f>(64.88*3000*0.00001)+7.5%*(64.88*3000*0.00001)</f>
        <v>2.0923800000000004</v>
      </c>
      <c r="E28" s="701">
        <v>0</v>
      </c>
      <c r="F28" s="702">
        <f t="shared" si="1"/>
        <v>2.0923800000000004</v>
      </c>
      <c r="G28" s="683" t="s">
        <v>745</v>
      </c>
      <c r="H28" s="697"/>
      <c r="I28" s="697"/>
    </row>
    <row r="29" spans="1:9" ht="22.5" customHeight="1" thickBot="1" x14ac:dyDescent="0.25">
      <c r="A29" s="703">
        <v>15</v>
      </c>
      <c r="B29" s="704" t="s">
        <v>427</v>
      </c>
      <c r="C29" s="703"/>
      <c r="D29" s="705">
        <v>0</v>
      </c>
      <c r="E29" s="701">
        <v>0</v>
      </c>
      <c r="F29" s="706">
        <f t="shared" si="1"/>
        <v>0</v>
      </c>
      <c r="G29" s="683" t="s">
        <v>435</v>
      </c>
    </row>
    <row r="30" spans="1:9" ht="22.5" customHeight="1" thickBot="1" x14ac:dyDescent="0.25">
      <c r="A30" s="707"/>
      <c r="B30" s="668" t="s">
        <v>18</v>
      </c>
      <c r="C30" s="669"/>
      <c r="D30" s="708">
        <f>SUM(D5:D29)</f>
        <v>85.469624626600009</v>
      </c>
      <c r="E30" s="709">
        <f>SUM(E5:E29)</f>
        <v>40.397936499999993</v>
      </c>
      <c r="F30" s="708">
        <f>SUM(F5:F29)</f>
        <v>125.86756112660001</v>
      </c>
      <c r="G30" s="668"/>
    </row>
    <row r="31" spans="1:9" x14ac:dyDescent="0.2">
      <c r="A31" s="710" t="s">
        <v>748</v>
      </c>
      <c r="E31" s="711"/>
    </row>
    <row r="32" spans="1:9" x14ac:dyDescent="0.2">
      <c r="A32" s="1542"/>
      <c r="B32" s="1542"/>
      <c r="E32" s="711"/>
    </row>
  </sheetData>
  <mergeCells count="36">
    <mergeCell ref="A19:A20"/>
    <mergeCell ref="B19:B20"/>
    <mergeCell ref="G19:G20"/>
    <mergeCell ref="A32:B32"/>
    <mergeCell ref="A21:A22"/>
    <mergeCell ref="B21:B22"/>
    <mergeCell ref="G21:G22"/>
    <mergeCell ref="A23:A24"/>
    <mergeCell ref="B23:B24"/>
    <mergeCell ref="G23:G24"/>
    <mergeCell ref="A25:A26"/>
    <mergeCell ref="B25:B26"/>
    <mergeCell ref="G25:G26"/>
    <mergeCell ref="A27:A28"/>
    <mergeCell ref="B27:B28"/>
    <mergeCell ref="A17:A18"/>
    <mergeCell ref="B17:B18"/>
    <mergeCell ref="G17:G18"/>
    <mergeCell ref="A15:A16"/>
    <mergeCell ref="B15:B16"/>
    <mergeCell ref="G15:G16"/>
    <mergeCell ref="G10:G11"/>
    <mergeCell ref="A12:A13"/>
    <mergeCell ref="A1:G1"/>
    <mergeCell ref="A2:G2"/>
    <mergeCell ref="A5:A6"/>
    <mergeCell ref="B5:B6"/>
    <mergeCell ref="A8:A9"/>
    <mergeCell ref="B8:B9"/>
    <mergeCell ref="C8:C9"/>
    <mergeCell ref="D8:D9"/>
    <mergeCell ref="E8:E9"/>
    <mergeCell ref="F8:F9"/>
    <mergeCell ref="G8:G9"/>
    <mergeCell ref="B12:B13"/>
    <mergeCell ref="G12:G13"/>
  </mergeCells>
  <pageMargins left="0.44" right="0.23" top="0.27" bottom="0.26" header="0.17" footer="0.15"/>
  <pageSetup paperSize="9" scale="87"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S30"/>
  <sheetViews>
    <sheetView view="pageBreakPreview" topLeftCell="A13" zoomScale="70" zoomScaleSheetLayoutView="70" workbookViewId="0">
      <selection activeCell="E11" sqref="E11"/>
    </sheetView>
  </sheetViews>
  <sheetFormatPr defaultRowHeight="25.5" customHeight="1" x14ac:dyDescent="0.25"/>
  <cols>
    <col min="1" max="1" width="8.140625" style="712" customWidth="1"/>
    <col min="2" max="2" width="18.85546875" style="712" customWidth="1"/>
    <col min="3" max="3" width="15.42578125" style="712" customWidth="1"/>
    <col min="4" max="4" width="14.85546875" style="712" customWidth="1"/>
    <col min="5" max="5" width="11.85546875" style="712" customWidth="1"/>
    <col min="6" max="6" width="9.85546875" style="712" customWidth="1"/>
    <col min="7" max="7" width="12.7109375" style="712" customWidth="1"/>
    <col min="8" max="9" width="11" style="712" customWidth="1"/>
    <col min="10" max="10" width="14.140625" style="712" customWidth="1"/>
    <col min="11" max="11" width="14.5703125" style="712" customWidth="1"/>
    <col min="12" max="12" width="13.140625" style="712" customWidth="1"/>
    <col min="13" max="13" width="9.7109375" style="712" customWidth="1"/>
    <col min="14" max="14" width="9.5703125" style="712" customWidth="1"/>
    <col min="15" max="15" width="12.7109375" style="712" customWidth="1"/>
    <col min="16" max="16" width="13.28515625" style="712" customWidth="1"/>
    <col min="17" max="17" width="11.28515625" style="712" customWidth="1"/>
    <col min="18" max="18" width="9.28515625" style="712" customWidth="1"/>
    <col min="19" max="19" width="11.85546875" style="712" customWidth="1"/>
    <col min="20" max="20" width="12.28515625" style="712" customWidth="1"/>
    <col min="21" max="16384" width="9.140625" style="712"/>
  </cols>
  <sheetData>
    <row r="1" spans="1:20" ht="25.5" customHeight="1" x14ac:dyDescent="0.25">
      <c r="R1" s="1550" t="s">
        <v>710</v>
      </c>
      <c r="S1" s="1550"/>
    </row>
    <row r="2" spans="1:20" s="713" customFormat="1" ht="25.5" customHeight="1" x14ac:dyDescent="0.25">
      <c r="A2" s="1551" t="s">
        <v>0</v>
      </c>
      <c r="B2" s="1551"/>
      <c r="C2" s="1551"/>
      <c r="D2" s="1551"/>
      <c r="E2" s="1551"/>
      <c r="F2" s="1551"/>
      <c r="G2" s="1551"/>
      <c r="H2" s="1551"/>
      <c r="I2" s="1551"/>
      <c r="J2" s="1551"/>
      <c r="K2" s="1551"/>
      <c r="L2" s="1551"/>
      <c r="M2" s="1551"/>
      <c r="N2" s="1551"/>
      <c r="O2" s="1551"/>
      <c r="P2" s="1551"/>
      <c r="Q2" s="1551"/>
      <c r="R2" s="1551"/>
      <c r="S2" s="1551"/>
    </row>
    <row r="3" spans="1:20" s="713" customFormat="1" ht="25.5" customHeight="1" x14ac:dyDescent="0.25">
      <c r="A3" s="1551" t="s">
        <v>794</v>
      </c>
      <c r="B3" s="1551"/>
      <c r="C3" s="1551"/>
      <c r="D3" s="1551"/>
      <c r="E3" s="1551"/>
      <c r="F3" s="1551"/>
      <c r="G3" s="1551"/>
      <c r="H3" s="1551"/>
      <c r="I3" s="1551"/>
      <c r="J3" s="1551"/>
      <c r="K3" s="1551"/>
      <c r="L3" s="1551"/>
      <c r="M3" s="1551"/>
      <c r="N3" s="1551"/>
      <c r="O3" s="1551"/>
      <c r="P3" s="1551"/>
      <c r="Q3" s="1551"/>
      <c r="R3" s="1551"/>
      <c r="S3" s="1551"/>
    </row>
    <row r="4" spans="1:20" ht="25.5" customHeight="1" x14ac:dyDescent="0.3">
      <c r="A4" s="1552" t="s">
        <v>711</v>
      </c>
      <c r="B4" s="1552"/>
      <c r="C4" s="1552"/>
      <c r="D4" s="1552"/>
      <c r="E4" s="1552"/>
      <c r="F4" s="1552"/>
      <c r="G4" s="1552"/>
      <c r="H4" s="1552"/>
      <c r="I4" s="1552"/>
      <c r="J4" s="1552"/>
      <c r="K4" s="1552"/>
      <c r="L4" s="1552"/>
      <c r="M4" s="1552"/>
      <c r="N4" s="1552"/>
      <c r="O4" s="1552"/>
      <c r="P4" s="1552"/>
      <c r="Q4" s="1552"/>
      <c r="R4" s="1552"/>
      <c r="S4" s="1552"/>
      <c r="T4" s="714"/>
    </row>
    <row r="5" spans="1:20" ht="25.5" customHeight="1" x14ac:dyDescent="0.25">
      <c r="A5" s="1553" t="s">
        <v>463</v>
      </c>
      <c r="B5" s="1553"/>
      <c r="C5" s="1553"/>
    </row>
    <row r="6" spans="1:20" ht="25.5" customHeight="1" x14ac:dyDescent="0.25">
      <c r="B6" s="715"/>
      <c r="Q6" s="716" t="s">
        <v>154</v>
      </c>
    </row>
    <row r="7" spans="1:20" s="717" customFormat="1" ht="25.5" customHeight="1" x14ac:dyDescent="0.25">
      <c r="A7" s="1554" t="s">
        <v>2</v>
      </c>
      <c r="B7" s="1555" t="s">
        <v>3</v>
      </c>
      <c r="C7" s="1555" t="s">
        <v>127</v>
      </c>
      <c r="D7" s="1555"/>
      <c r="E7" s="1555"/>
      <c r="F7" s="1555"/>
      <c r="G7" s="1555" t="s">
        <v>129</v>
      </c>
      <c r="H7" s="1555"/>
      <c r="I7" s="1555"/>
      <c r="J7" s="1555"/>
      <c r="K7" s="1555" t="s">
        <v>130</v>
      </c>
      <c r="L7" s="1555"/>
      <c r="M7" s="1555"/>
      <c r="N7" s="1555"/>
      <c r="O7" s="1555" t="s">
        <v>131</v>
      </c>
      <c r="P7" s="1555"/>
      <c r="Q7" s="1555"/>
      <c r="R7" s="1555"/>
      <c r="S7" s="1556" t="s">
        <v>178</v>
      </c>
    </row>
    <row r="8" spans="1:20" s="720" customFormat="1" ht="75" x14ac:dyDescent="0.25">
      <c r="A8" s="1554"/>
      <c r="B8" s="1555"/>
      <c r="C8" s="718" t="s">
        <v>175</v>
      </c>
      <c r="D8" s="719" t="s">
        <v>177</v>
      </c>
      <c r="E8" s="718" t="s">
        <v>153</v>
      </c>
      <c r="F8" s="719" t="s">
        <v>176</v>
      </c>
      <c r="G8" s="718" t="s">
        <v>271</v>
      </c>
      <c r="H8" s="719" t="s">
        <v>177</v>
      </c>
      <c r="I8" s="718" t="s">
        <v>153</v>
      </c>
      <c r="J8" s="719" t="s">
        <v>176</v>
      </c>
      <c r="K8" s="718" t="s">
        <v>271</v>
      </c>
      <c r="L8" s="719" t="s">
        <v>177</v>
      </c>
      <c r="M8" s="718" t="s">
        <v>153</v>
      </c>
      <c r="N8" s="719" t="s">
        <v>176</v>
      </c>
      <c r="O8" s="718" t="s">
        <v>271</v>
      </c>
      <c r="P8" s="719" t="s">
        <v>177</v>
      </c>
      <c r="Q8" s="718" t="s">
        <v>153</v>
      </c>
      <c r="R8" s="719" t="s">
        <v>176</v>
      </c>
      <c r="S8" s="1556"/>
    </row>
    <row r="9" spans="1:20" s="720" customFormat="1" ht="37.5" customHeight="1" x14ac:dyDescent="0.25">
      <c r="A9" s="721">
        <v>1</v>
      </c>
      <c r="B9" s="718">
        <v>2</v>
      </c>
      <c r="C9" s="718">
        <v>3</v>
      </c>
      <c r="D9" s="718">
        <v>4</v>
      </c>
      <c r="E9" s="718">
        <v>5</v>
      </c>
      <c r="F9" s="718">
        <v>6</v>
      </c>
      <c r="G9" s="718">
        <v>7</v>
      </c>
      <c r="H9" s="718">
        <v>8</v>
      </c>
      <c r="I9" s="718">
        <v>9</v>
      </c>
      <c r="J9" s="718">
        <v>10</v>
      </c>
      <c r="K9" s="718">
        <v>11</v>
      </c>
      <c r="L9" s="718">
        <v>12</v>
      </c>
      <c r="M9" s="718">
        <v>13</v>
      </c>
      <c r="N9" s="718">
        <v>14</v>
      </c>
      <c r="O9" s="718">
        <v>15</v>
      </c>
      <c r="P9" s="718">
        <v>16</v>
      </c>
      <c r="Q9" s="718">
        <v>17</v>
      </c>
      <c r="R9" s="718">
        <v>18</v>
      </c>
      <c r="S9" s="722">
        <v>19</v>
      </c>
    </row>
    <row r="10" spans="1:20" ht="37.5" customHeight="1" x14ac:dyDescent="0.25">
      <c r="A10" s="723">
        <v>1</v>
      </c>
      <c r="B10" s="724" t="s">
        <v>392</v>
      </c>
      <c r="C10" s="725">
        <v>0</v>
      </c>
      <c r="D10" s="725">
        <f>C10</f>
        <v>0</v>
      </c>
      <c r="E10" s="726">
        <v>0</v>
      </c>
      <c r="F10" s="726">
        <f>D10*E10</f>
        <v>0</v>
      </c>
      <c r="G10" s="725">
        <v>1</v>
      </c>
      <c r="H10" s="725">
        <f>G10</f>
        <v>1</v>
      </c>
      <c r="I10" s="726">
        <v>4.3899999999999997</v>
      </c>
      <c r="J10" s="726">
        <f>H10*I10</f>
        <v>4.3899999999999997</v>
      </c>
      <c r="K10" s="725">
        <v>0</v>
      </c>
      <c r="L10" s="725">
        <f>K10</f>
        <v>0</v>
      </c>
      <c r="M10" s="726">
        <v>0</v>
      </c>
      <c r="N10" s="726">
        <f>L10*M10</f>
        <v>0</v>
      </c>
      <c r="O10" s="725">
        <v>0</v>
      </c>
      <c r="P10" s="725">
        <f>O10</f>
        <v>0</v>
      </c>
      <c r="Q10" s="726">
        <v>0</v>
      </c>
      <c r="R10" s="726">
        <f>P10*Q10</f>
        <v>0</v>
      </c>
      <c r="S10" s="726">
        <f>F10+J10+N10+R10</f>
        <v>4.3899999999999997</v>
      </c>
    </row>
    <row r="11" spans="1:20" ht="37.5" customHeight="1" x14ac:dyDescent="0.25">
      <c r="A11" s="723">
        <v>2</v>
      </c>
      <c r="B11" s="724" t="s">
        <v>393</v>
      </c>
      <c r="C11" s="725">
        <v>1</v>
      </c>
      <c r="D11" s="725">
        <f t="shared" ref="D11:D22" si="0">C11</f>
        <v>1</v>
      </c>
      <c r="E11" s="726">
        <v>3.18</v>
      </c>
      <c r="F11" s="726">
        <f t="shared" ref="F11:F22" si="1">D11*E11</f>
        <v>3.18</v>
      </c>
      <c r="G11" s="725">
        <v>0</v>
      </c>
      <c r="H11" s="725">
        <f t="shared" ref="H11:H22" si="2">G11</f>
        <v>0</v>
      </c>
      <c r="I11" s="726">
        <v>0</v>
      </c>
      <c r="J11" s="726">
        <f t="shared" ref="J11:J22" si="3">H11*I11</f>
        <v>0</v>
      </c>
      <c r="K11" s="725">
        <v>0</v>
      </c>
      <c r="L11" s="725">
        <f t="shared" ref="L11:L22" si="4">K11</f>
        <v>0</v>
      </c>
      <c r="M11" s="726">
        <v>0</v>
      </c>
      <c r="N11" s="726">
        <f t="shared" ref="N11:N22" si="5">L11*M11</f>
        <v>0</v>
      </c>
      <c r="O11" s="725">
        <v>0</v>
      </c>
      <c r="P11" s="725">
        <f t="shared" ref="P11:P22" si="6">O11</f>
        <v>0</v>
      </c>
      <c r="Q11" s="726">
        <v>0</v>
      </c>
      <c r="R11" s="726">
        <f t="shared" ref="R11:R22" si="7">P11*Q11</f>
        <v>0</v>
      </c>
      <c r="S11" s="726">
        <f t="shared" ref="S11:S18" si="8">F11+J11+N11+R11</f>
        <v>3.18</v>
      </c>
    </row>
    <row r="12" spans="1:20" ht="37.5" customHeight="1" x14ac:dyDescent="0.25">
      <c r="A12" s="723">
        <v>3</v>
      </c>
      <c r="B12" s="724" t="s">
        <v>394</v>
      </c>
      <c r="C12" s="725">
        <v>6</v>
      </c>
      <c r="D12" s="725">
        <f t="shared" si="0"/>
        <v>6</v>
      </c>
      <c r="E12" s="726">
        <v>3.18</v>
      </c>
      <c r="F12" s="726">
        <f t="shared" si="1"/>
        <v>19.080000000000002</v>
      </c>
      <c r="G12" s="725">
        <v>0</v>
      </c>
      <c r="H12" s="725">
        <f t="shared" si="2"/>
        <v>0</v>
      </c>
      <c r="I12" s="726">
        <v>0</v>
      </c>
      <c r="J12" s="726">
        <f t="shared" si="3"/>
        <v>0</v>
      </c>
      <c r="K12" s="725">
        <v>0</v>
      </c>
      <c r="L12" s="725">
        <f t="shared" si="4"/>
        <v>0</v>
      </c>
      <c r="M12" s="726">
        <v>0</v>
      </c>
      <c r="N12" s="726">
        <f t="shared" si="5"/>
        <v>0</v>
      </c>
      <c r="O12" s="725">
        <v>0</v>
      </c>
      <c r="P12" s="725">
        <f t="shared" si="6"/>
        <v>0</v>
      </c>
      <c r="Q12" s="726">
        <v>0</v>
      </c>
      <c r="R12" s="726">
        <f t="shared" si="7"/>
        <v>0</v>
      </c>
      <c r="S12" s="726">
        <f t="shared" si="8"/>
        <v>19.080000000000002</v>
      </c>
    </row>
    <row r="13" spans="1:20" ht="37.5" customHeight="1" x14ac:dyDescent="0.25">
      <c r="A13" s="723">
        <v>4</v>
      </c>
      <c r="B13" s="724" t="s">
        <v>395</v>
      </c>
      <c r="C13" s="725">
        <v>0</v>
      </c>
      <c r="D13" s="725">
        <f t="shared" si="0"/>
        <v>0</v>
      </c>
      <c r="E13" s="726">
        <v>0</v>
      </c>
      <c r="F13" s="726">
        <f t="shared" si="1"/>
        <v>0</v>
      </c>
      <c r="G13" s="725">
        <v>0</v>
      </c>
      <c r="H13" s="725">
        <f t="shared" si="2"/>
        <v>0</v>
      </c>
      <c r="I13" s="726">
        <v>0</v>
      </c>
      <c r="J13" s="726">
        <f t="shared" si="3"/>
        <v>0</v>
      </c>
      <c r="K13" s="725">
        <v>0</v>
      </c>
      <c r="L13" s="725">
        <f t="shared" si="4"/>
        <v>0</v>
      </c>
      <c r="M13" s="726">
        <v>0</v>
      </c>
      <c r="N13" s="726">
        <f t="shared" si="5"/>
        <v>0</v>
      </c>
      <c r="O13" s="725">
        <v>0</v>
      </c>
      <c r="P13" s="725">
        <f t="shared" si="6"/>
        <v>0</v>
      </c>
      <c r="Q13" s="726">
        <v>0</v>
      </c>
      <c r="R13" s="726">
        <f t="shared" si="7"/>
        <v>0</v>
      </c>
      <c r="S13" s="726">
        <f t="shared" si="8"/>
        <v>0</v>
      </c>
    </row>
    <row r="14" spans="1:20" ht="37.5" customHeight="1" x14ac:dyDescent="0.25">
      <c r="A14" s="723">
        <v>5</v>
      </c>
      <c r="B14" s="724" t="s">
        <v>396</v>
      </c>
      <c r="C14" s="725">
        <v>0</v>
      </c>
      <c r="D14" s="725">
        <f t="shared" si="0"/>
        <v>0</v>
      </c>
      <c r="E14" s="726">
        <v>0</v>
      </c>
      <c r="F14" s="726">
        <f t="shared" si="1"/>
        <v>0</v>
      </c>
      <c r="G14" s="725">
        <v>1</v>
      </c>
      <c r="H14" s="725">
        <f t="shared" si="2"/>
        <v>1</v>
      </c>
      <c r="I14" s="726">
        <v>4.3899999999999997</v>
      </c>
      <c r="J14" s="726">
        <f t="shared" si="3"/>
        <v>4.3899999999999997</v>
      </c>
      <c r="K14" s="725">
        <v>3</v>
      </c>
      <c r="L14" s="725">
        <f t="shared" si="4"/>
        <v>3</v>
      </c>
      <c r="M14" s="726">
        <v>2.12</v>
      </c>
      <c r="N14" s="726">
        <f t="shared" si="5"/>
        <v>6.36</v>
      </c>
      <c r="O14" s="725">
        <v>0</v>
      </c>
      <c r="P14" s="725">
        <f t="shared" si="6"/>
        <v>0</v>
      </c>
      <c r="Q14" s="726">
        <v>0</v>
      </c>
      <c r="R14" s="726">
        <f t="shared" si="7"/>
        <v>0</v>
      </c>
      <c r="S14" s="726">
        <f>F14+J14+N14+R14</f>
        <v>10.75</v>
      </c>
    </row>
    <row r="15" spans="1:20" ht="37.5" customHeight="1" x14ac:dyDescent="0.25">
      <c r="A15" s="723">
        <v>6</v>
      </c>
      <c r="B15" s="724" t="s">
        <v>397</v>
      </c>
      <c r="C15" s="725">
        <v>0</v>
      </c>
      <c r="D15" s="725">
        <f t="shared" si="0"/>
        <v>0</v>
      </c>
      <c r="E15" s="726">
        <v>0</v>
      </c>
      <c r="F15" s="726">
        <f t="shared" si="1"/>
        <v>0</v>
      </c>
      <c r="G15" s="725">
        <v>0</v>
      </c>
      <c r="H15" s="725">
        <f t="shared" si="2"/>
        <v>0</v>
      </c>
      <c r="I15" s="726">
        <v>0</v>
      </c>
      <c r="J15" s="726">
        <f t="shared" si="3"/>
        <v>0</v>
      </c>
      <c r="K15" s="725">
        <v>5</v>
      </c>
      <c r="L15" s="725">
        <f t="shared" si="4"/>
        <v>5</v>
      </c>
      <c r="M15" s="726">
        <v>2.12</v>
      </c>
      <c r="N15" s="726">
        <f t="shared" si="5"/>
        <v>10.600000000000001</v>
      </c>
      <c r="O15" s="725">
        <v>4</v>
      </c>
      <c r="P15" s="725">
        <f t="shared" si="6"/>
        <v>4</v>
      </c>
      <c r="Q15" s="726">
        <v>3.49</v>
      </c>
      <c r="R15" s="726">
        <f t="shared" si="7"/>
        <v>13.96</v>
      </c>
      <c r="S15" s="726">
        <f t="shared" si="8"/>
        <v>24.560000000000002</v>
      </c>
    </row>
    <row r="16" spans="1:20" ht="37.5" customHeight="1" x14ac:dyDescent="0.25">
      <c r="A16" s="723">
        <v>7</v>
      </c>
      <c r="B16" s="724" t="s">
        <v>398</v>
      </c>
      <c r="C16" s="725">
        <v>0</v>
      </c>
      <c r="D16" s="725">
        <f t="shared" si="0"/>
        <v>0</v>
      </c>
      <c r="E16" s="726">
        <v>0</v>
      </c>
      <c r="F16" s="726">
        <f t="shared" si="1"/>
        <v>0</v>
      </c>
      <c r="G16" s="725">
        <v>0</v>
      </c>
      <c r="H16" s="725">
        <f t="shared" si="2"/>
        <v>0</v>
      </c>
      <c r="I16" s="726">
        <v>0</v>
      </c>
      <c r="J16" s="726">
        <f t="shared" si="3"/>
        <v>0</v>
      </c>
      <c r="K16" s="725">
        <v>0</v>
      </c>
      <c r="L16" s="725">
        <f t="shared" si="4"/>
        <v>0</v>
      </c>
      <c r="M16" s="726">
        <v>0</v>
      </c>
      <c r="N16" s="726">
        <f t="shared" si="5"/>
        <v>0</v>
      </c>
      <c r="O16" s="725">
        <v>0</v>
      </c>
      <c r="P16" s="725">
        <f t="shared" si="6"/>
        <v>0</v>
      </c>
      <c r="Q16" s="726">
        <v>0</v>
      </c>
      <c r="R16" s="726">
        <f t="shared" si="7"/>
        <v>0</v>
      </c>
      <c r="S16" s="726">
        <f t="shared" si="8"/>
        <v>0</v>
      </c>
    </row>
    <row r="17" spans="1:45" ht="37.5" customHeight="1" x14ac:dyDescent="0.25">
      <c r="A17" s="723">
        <v>8</v>
      </c>
      <c r="B17" s="724" t="s">
        <v>399</v>
      </c>
      <c r="C17" s="725">
        <v>3</v>
      </c>
      <c r="D17" s="725">
        <f t="shared" si="0"/>
        <v>3</v>
      </c>
      <c r="E17" s="726">
        <v>3.18</v>
      </c>
      <c r="F17" s="726">
        <f t="shared" si="1"/>
        <v>9.5400000000000009</v>
      </c>
      <c r="G17" s="725">
        <v>0</v>
      </c>
      <c r="H17" s="725">
        <f t="shared" si="2"/>
        <v>0</v>
      </c>
      <c r="I17" s="726">
        <v>0</v>
      </c>
      <c r="J17" s="726">
        <f t="shared" si="3"/>
        <v>0</v>
      </c>
      <c r="K17" s="725">
        <v>0</v>
      </c>
      <c r="L17" s="725">
        <f t="shared" si="4"/>
        <v>0</v>
      </c>
      <c r="M17" s="726">
        <v>0</v>
      </c>
      <c r="N17" s="726">
        <f t="shared" si="5"/>
        <v>0</v>
      </c>
      <c r="O17" s="725">
        <v>0</v>
      </c>
      <c r="P17" s="725">
        <f t="shared" si="6"/>
        <v>0</v>
      </c>
      <c r="Q17" s="726">
        <v>0</v>
      </c>
      <c r="R17" s="726">
        <f t="shared" si="7"/>
        <v>0</v>
      </c>
      <c r="S17" s="726">
        <f t="shared" si="8"/>
        <v>9.5400000000000009</v>
      </c>
    </row>
    <row r="18" spans="1:45" s="728" customFormat="1" ht="37.5" customHeight="1" x14ac:dyDescent="0.25">
      <c r="A18" s="723">
        <v>9</v>
      </c>
      <c r="B18" s="724" t="s">
        <v>400</v>
      </c>
      <c r="C18" s="725">
        <v>0</v>
      </c>
      <c r="D18" s="725">
        <f t="shared" si="0"/>
        <v>0</v>
      </c>
      <c r="E18" s="726">
        <v>0</v>
      </c>
      <c r="F18" s="726">
        <f t="shared" si="1"/>
        <v>0</v>
      </c>
      <c r="G18" s="725">
        <v>0</v>
      </c>
      <c r="H18" s="725">
        <f t="shared" si="2"/>
        <v>0</v>
      </c>
      <c r="I18" s="726">
        <v>0</v>
      </c>
      <c r="J18" s="726">
        <f t="shared" si="3"/>
        <v>0</v>
      </c>
      <c r="K18" s="725">
        <v>0</v>
      </c>
      <c r="L18" s="725">
        <f t="shared" si="4"/>
        <v>0</v>
      </c>
      <c r="M18" s="726">
        <v>0</v>
      </c>
      <c r="N18" s="726">
        <f t="shared" si="5"/>
        <v>0</v>
      </c>
      <c r="O18" s="725">
        <v>0</v>
      </c>
      <c r="P18" s="725">
        <f t="shared" si="6"/>
        <v>0</v>
      </c>
      <c r="Q18" s="726">
        <v>0</v>
      </c>
      <c r="R18" s="726">
        <f t="shared" si="7"/>
        <v>0</v>
      </c>
      <c r="S18" s="726">
        <f t="shared" si="8"/>
        <v>0</v>
      </c>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727"/>
      <c r="AS18" s="727"/>
    </row>
    <row r="19" spans="1:45" ht="37.5" customHeight="1" x14ac:dyDescent="0.25">
      <c r="A19" s="723">
        <v>10</v>
      </c>
      <c r="B19" s="724" t="s">
        <v>401</v>
      </c>
      <c r="C19" s="725">
        <v>15</v>
      </c>
      <c r="D19" s="725">
        <f t="shared" si="0"/>
        <v>15</v>
      </c>
      <c r="E19" s="726">
        <v>3.18</v>
      </c>
      <c r="F19" s="726">
        <f t="shared" si="1"/>
        <v>47.7</v>
      </c>
      <c r="G19" s="725">
        <v>0</v>
      </c>
      <c r="H19" s="725">
        <v>0</v>
      </c>
      <c r="I19" s="726">
        <v>0</v>
      </c>
      <c r="J19" s="726">
        <f t="shared" si="3"/>
        <v>0</v>
      </c>
      <c r="K19" s="725">
        <v>0</v>
      </c>
      <c r="L19" s="725">
        <f t="shared" si="4"/>
        <v>0</v>
      </c>
      <c r="M19" s="726">
        <v>0</v>
      </c>
      <c r="N19" s="726">
        <f t="shared" si="5"/>
        <v>0</v>
      </c>
      <c r="O19" s="725">
        <v>0</v>
      </c>
      <c r="P19" s="725">
        <f t="shared" si="6"/>
        <v>0</v>
      </c>
      <c r="Q19" s="726">
        <v>0</v>
      </c>
      <c r="R19" s="726">
        <f t="shared" si="7"/>
        <v>0</v>
      </c>
      <c r="S19" s="726">
        <f>F19+J19+N19+R19</f>
        <v>47.7</v>
      </c>
    </row>
    <row r="20" spans="1:45" ht="37.5" customHeight="1" x14ac:dyDescent="0.25">
      <c r="A20" s="723">
        <v>11</v>
      </c>
      <c r="B20" s="724" t="s">
        <v>402</v>
      </c>
      <c r="C20" s="725">
        <v>7</v>
      </c>
      <c r="D20" s="725">
        <f t="shared" si="0"/>
        <v>7</v>
      </c>
      <c r="E20" s="726">
        <v>3.18</v>
      </c>
      <c r="F20" s="726">
        <f t="shared" si="1"/>
        <v>22.26</v>
      </c>
      <c r="G20" s="725">
        <v>1</v>
      </c>
      <c r="H20" s="725">
        <f t="shared" si="2"/>
        <v>1</v>
      </c>
      <c r="I20" s="726">
        <v>4.3899999999999997</v>
      </c>
      <c r="J20" s="726">
        <f t="shared" si="3"/>
        <v>4.3899999999999997</v>
      </c>
      <c r="K20" s="725">
        <v>0</v>
      </c>
      <c r="L20" s="725">
        <f t="shared" si="4"/>
        <v>0</v>
      </c>
      <c r="M20" s="726">
        <v>0</v>
      </c>
      <c r="N20" s="726">
        <f t="shared" si="5"/>
        <v>0</v>
      </c>
      <c r="O20" s="725">
        <v>0</v>
      </c>
      <c r="P20" s="725">
        <f t="shared" si="6"/>
        <v>0</v>
      </c>
      <c r="Q20" s="726">
        <v>0</v>
      </c>
      <c r="R20" s="726">
        <f t="shared" si="7"/>
        <v>0</v>
      </c>
      <c r="S20" s="726">
        <f>F20+J20+N20+R20</f>
        <v>26.650000000000002</v>
      </c>
    </row>
    <row r="21" spans="1:45" ht="37.5" customHeight="1" x14ac:dyDescent="0.25">
      <c r="A21" s="723">
        <v>12</v>
      </c>
      <c r="B21" s="724" t="s">
        <v>403</v>
      </c>
      <c r="C21" s="725">
        <v>0</v>
      </c>
      <c r="D21" s="725">
        <f t="shared" si="0"/>
        <v>0</v>
      </c>
      <c r="E21" s="726">
        <v>0</v>
      </c>
      <c r="F21" s="726">
        <f t="shared" si="1"/>
        <v>0</v>
      </c>
      <c r="G21" s="725">
        <v>0</v>
      </c>
      <c r="H21" s="725">
        <f t="shared" si="2"/>
        <v>0</v>
      </c>
      <c r="I21" s="726">
        <v>0</v>
      </c>
      <c r="J21" s="726">
        <f t="shared" si="3"/>
        <v>0</v>
      </c>
      <c r="K21" s="725">
        <v>0</v>
      </c>
      <c r="L21" s="725">
        <f t="shared" si="4"/>
        <v>0</v>
      </c>
      <c r="M21" s="726">
        <v>0</v>
      </c>
      <c r="N21" s="726">
        <f t="shared" si="5"/>
        <v>0</v>
      </c>
      <c r="O21" s="725">
        <v>0</v>
      </c>
      <c r="P21" s="725">
        <f t="shared" si="6"/>
        <v>0</v>
      </c>
      <c r="Q21" s="726">
        <v>0</v>
      </c>
      <c r="R21" s="726">
        <f t="shared" si="7"/>
        <v>0</v>
      </c>
      <c r="S21" s="726">
        <f>F21+J21+N21+R21</f>
        <v>0</v>
      </c>
    </row>
    <row r="22" spans="1:45" ht="37.5" customHeight="1" x14ac:dyDescent="0.25">
      <c r="A22" s="723">
        <v>13</v>
      </c>
      <c r="B22" s="724" t="s">
        <v>404</v>
      </c>
      <c r="C22" s="725">
        <v>1</v>
      </c>
      <c r="D22" s="725">
        <f t="shared" si="0"/>
        <v>1</v>
      </c>
      <c r="E22" s="726">
        <v>3.18</v>
      </c>
      <c r="F22" s="726">
        <f t="shared" si="1"/>
        <v>3.18</v>
      </c>
      <c r="G22" s="725">
        <v>0</v>
      </c>
      <c r="H22" s="725">
        <f t="shared" si="2"/>
        <v>0</v>
      </c>
      <c r="I22" s="726">
        <v>0</v>
      </c>
      <c r="J22" s="726">
        <f t="shared" si="3"/>
        <v>0</v>
      </c>
      <c r="K22" s="725">
        <v>0</v>
      </c>
      <c r="L22" s="725">
        <f t="shared" si="4"/>
        <v>0</v>
      </c>
      <c r="M22" s="726">
        <v>0</v>
      </c>
      <c r="N22" s="726">
        <f t="shared" si="5"/>
        <v>0</v>
      </c>
      <c r="O22" s="725">
        <v>0</v>
      </c>
      <c r="P22" s="725">
        <f t="shared" si="6"/>
        <v>0</v>
      </c>
      <c r="Q22" s="726">
        <v>0</v>
      </c>
      <c r="R22" s="726">
        <f t="shared" si="7"/>
        <v>0</v>
      </c>
      <c r="S22" s="726">
        <f>F22+J22+N22+R22</f>
        <v>3.18</v>
      </c>
    </row>
    <row r="23" spans="1:45" s="713" customFormat="1" ht="37.5" customHeight="1" x14ac:dyDescent="0.2">
      <c r="A23" s="729"/>
      <c r="B23" s="729" t="s">
        <v>18</v>
      </c>
      <c r="C23" s="730">
        <f>SUM(C10:C22)</f>
        <v>33</v>
      </c>
      <c r="D23" s="731">
        <f t="shared" ref="D23:S23" si="9">SUM(D10:D22)</f>
        <v>33</v>
      </c>
      <c r="E23" s="731" t="s">
        <v>783</v>
      </c>
      <c r="F23" s="731">
        <f t="shared" si="9"/>
        <v>104.94000000000001</v>
      </c>
      <c r="G23" s="731">
        <f t="shared" si="9"/>
        <v>3</v>
      </c>
      <c r="H23" s="731">
        <f t="shared" si="9"/>
        <v>3</v>
      </c>
      <c r="I23" s="731" t="s">
        <v>784</v>
      </c>
      <c r="J23" s="731">
        <f t="shared" si="9"/>
        <v>13.169999999999998</v>
      </c>
      <c r="K23" s="731">
        <f t="shared" si="9"/>
        <v>8</v>
      </c>
      <c r="L23" s="731">
        <f t="shared" si="9"/>
        <v>8</v>
      </c>
      <c r="M23" s="731" t="s">
        <v>785</v>
      </c>
      <c r="N23" s="731">
        <f t="shared" si="9"/>
        <v>16.96</v>
      </c>
      <c r="O23" s="731">
        <f t="shared" si="9"/>
        <v>4</v>
      </c>
      <c r="P23" s="731">
        <f t="shared" si="9"/>
        <v>4</v>
      </c>
      <c r="Q23" s="731" t="s">
        <v>786</v>
      </c>
      <c r="R23" s="731">
        <f t="shared" si="9"/>
        <v>13.96</v>
      </c>
      <c r="S23" s="731">
        <f t="shared" si="9"/>
        <v>149.03000000000003</v>
      </c>
    </row>
    <row r="24" spans="1:45" s="713" customFormat="1" ht="25.5" customHeight="1" x14ac:dyDescent="0.2">
      <c r="A24" s="732" t="s">
        <v>712</v>
      </c>
      <c r="J24" s="732"/>
      <c r="K24" s="1557"/>
      <c r="L24" s="1557"/>
      <c r="M24" s="1557"/>
      <c r="N24" s="1557"/>
      <c r="O24" s="1557"/>
      <c r="P24" s="1557"/>
      <c r="Q24" s="1557"/>
      <c r="R24" s="1557"/>
      <c r="S24" s="1557"/>
    </row>
    <row r="25" spans="1:45" s="713" customFormat="1" ht="25.5" customHeight="1" x14ac:dyDescent="0.2">
      <c r="J25" s="1557"/>
      <c r="K25" s="1557"/>
      <c r="L25" s="1557"/>
      <c r="M25" s="1557"/>
      <c r="N25" s="1557"/>
      <c r="O25" s="1557"/>
      <c r="P25" s="1557"/>
      <c r="Q25" s="1557"/>
      <c r="R25" s="1557"/>
      <c r="S25" s="1557"/>
    </row>
    <row r="26" spans="1:45" s="713" customFormat="1" ht="12.75" x14ac:dyDescent="0.2">
      <c r="A26" s="732"/>
      <c r="B26" s="732"/>
      <c r="K26" s="732"/>
      <c r="L26" s="732"/>
      <c r="M26" s="732"/>
      <c r="N26" s="732"/>
      <c r="O26" s="732"/>
      <c r="P26" s="732"/>
      <c r="Q26" s="1558"/>
      <c r="R26" s="1558"/>
      <c r="S26" s="1558"/>
    </row>
    <row r="27" spans="1:45" ht="15" x14ac:dyDescent="0.25">
      <c r="A27" s="733" t="s">
        <v>11</v>
      </c>
      <c r="B27" s="734"/>
      <c r="C27" s="734"/>
      <c r="D27" s="734"/>
      <c r="E27" s="734"/>
      <c r="F27" s="734"/>
      <c r="G27" s="733"/>
      <c r="H27" s="733"/>
      <c r="I27" s="734"/>
      <c r="J27" s="734"/>
      <c r="K27" s="733"/>
      <c r="L27" s="733"/>
      <c r="M27" s="733"/>
      <c r="N27" s="733"/>
      <c r="O27" s="733"/>
      <c r="P27" s="733"/>
      <c r="Q27" s="1549" t="s">
        <v>12</v>
      </c>
      <c r="R27" s="1549"/>
      <c r="S27" s="1549"/>
    </row>
    <row r="28" spans="1:45" ht="15" x14ac:dyDescent="0.25">
      <c r="A28" s="734"/>
      <c r="B28" s="734"/>
      <c r="C28" s="734"/>
      <c r="D28" s="734"/>
      <c r="E28" s="734"/>
      <c r="F28" s="734"/>
      <c r="G28" s="734"/>
      <c r="H28" s="734"/>
      <c r="I28" s="734"/>
      <c r="J28" s="734"/>
      <c r="K28" s="734"/>
      <c r="L28" s="734"/>
      <c r="M28" s="734"/>
      <c r="N28" s="734"/>
      <c r="O28" s="734"/>
      <c r="P28" s="735" t="s">
        <v>13</v>
      </c>
      <c r="Q28" s="734"/>
      <c r="R28" s="735"/>
      <c r="S28" s="736"/>
    </row>
    <row r="29" spans="1:45" ht="15" x14ac:dyDescent="0.25">
      <c r="A29" s="734"/>
      <c r="B29" s="734"/>
      <c r="C29" s="734"/>
      <c r="D29" s="734"/>
      <c r="E29" s="734"/>
      <c r="F29" s="734"/>
      <c r="G29" s="734"/>
      <c r="H29" s="734"/>
      <c r="I29" s="734"/>
      <c r="J29" s="734"/>
      <c r="K29" s="734"/>
      <c r="L29" s="734"/>
      <c r="M29" s="734"/>
      <c r="N29" s="734"/>
      <c r="O29" s="734"/>
      <c r="P29" s="735" t="s">
        <v>88</v>
      </c>
      <c r="Q29" s="735"/>
      <c r="R29" s="735"/>
      <c r="S29" s="736"/>
    </row>
    <row r="30" spans="1:45" ht="15" x14ac:dyDescent="0.25">
      <c r="A30" s="733"/>
      <c r="B30" s="733"/>
      <c r="C30" s="734"/>
      <c r="D30" s="734"/>
      <c r="E30" s="734"/>
      <c r="F30" s="734"/>
      <c r="G30" s="734"/>
      <c r="H30" s="734"/>
      <c r="I30" s="734"/>
      <c r="J30" s="734"/>
      <c r="K30" s="733"/>
      <c r="L30" s="733"/>
      <c r="M30" s="733"/>
      <c r="N30" s="733"/>
      <c r="O30" s="733"/>
      <c r="P30" s="733"/>
      <c r="Q30" s="735" t="s">
        <v>85</v>
      </c>
      <c r="R30" s="735"/>
      <c r="S30" s="736"/>
    </row>
  </sheetData>
  <mergeCells count="16">
    <mergeCell ref="Q27:S27"/>
    <mergeCell ref="R1:S1"/>
    <mergeCell ref="A2:S2"/>
    <mergeCell ref="A3:S3"/>
    <mergeCell ref="A4:S4"/>
    <mergeCell ref="A5:C5"/>
    <mergeCell ref="A7:A8"/>
    <mergeCell ref="B7:B8"/>
    <mergeCell ref="C7:F7"/>
    <mergeCell ref="G7:J7"/>
    <mergeCell ref="K7:N7"/>
    <mergeCell ref="O7:R7"/>
    <mergeCell ref="S7:S8"/>
    <mergeCell ref="K24:S24"/>
    <mergeCell ref="J25:S25"/>
    <mergeCell ref="Q26:S26"/>
  </mergeCells>
  <printOptions horizontalCentered="1"/>
  <pageMargins left="0.26" right="0.23" top="0.35" bottom="0" header="0.2"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pageSetUpPr fitToPage="1"/>
  </sheetPr>
  <dimension ref="A2:S37"/>
  <sheetViews>
    <sheetView topLeftCell="A16" zoomScaleSheetLayoutView="100" workbookViewId="0">
      <selection activeCell="H11" sqref="H11:L23"/>
    </sheetView>
  </sheetViews>
  <sheetFormatPr defaultRowHeight="12.75" x14ac:dyDescent="0.2"/>
  <cols>
    <col min="1" max="1" width="7.42578125" customWidth="1"/>
    <col min="2" max="2" width="16.42578125" customWidth="1"/>
    <col min="3" max="3" width="10.140625" customWidth="1"/>
    <col min="5" max="5" width="11" customWidth="1"/>
    <col min="6" max="6" width="10" customWidth="1"/>
    <col min="7" max="7" width="9.7109375" customWidth="1"/>
    <col min="8" max="8" width="10.5703125" customWidth="1"/>
    <col min="9" max="9" width="9.85546875" customWidth="1"/>
    <col min="10" max="10" width="11" customWidth="1"/>
    <col min="11" max="11" width="11.28515625" customWidth="1"/>
    <col min="12" max="12" width="11.140625" customWidth="1"/>
    <col min="13" max="13" width="10.85546875" customWidth="1"/>
    <col min="14" max="14" width="12.85546875" customWidth="1"/>
  </cols>
  <sheetData>
    <row r="2" spans="1:19" ht="12.75" customHeight="1" x14ac:dyDescent="0.2">
      <c r="D2" s="985"/>
      <c r="E2" s="985"/>
      <c r="F2" s="985"/>
      <c r="G2" s="985"/>
      <c r="H2" s="985"/>
      <c r="I2" s="985"/>
      <c r="J2" s="985"/>
      <c r="K2" s="1"/>
      <c r="M2" s="1060" t="s">
        <v>91</v>
      </c>
      <c r="N2" s="1060"/>
    </row>
    <row r="3" spans="1:19" ht="15.75" x14ac:dyDescent="0.25">
      <c r="A3" s="1056" t="s">
        <v>0</v>
      </c>
      <c r="B3" s="1056"/>
      <c r="C3" s="1056"/>
      <c r="D3" s="1056"/>
      <c r="E3" s="1056"/>
      <c r="F3" s="1056"/>
      <c r="G3" s="1056"/>
      <c r="H3" s="1056"/>
      <c r="I3" s="1056"/>
      <c r="J3" s="1056"/>
      <c r="K3" s="1056"/>
      <c r="L3" s="1056"/>
      <c r="M3" s="1056"/>
      <c r="N3" s="1056"/>
    </row>
    <row r="4" spans="1:19" ht="15.75" x14ac:dyDescent="0.25">
      <c r="A4" s="1056" t="s">
        <v>794</v>
      </c>
      <c r="B4" s="1056"/>
      <c r="C4" s="1056"/>
      <c r="D4" s="1056"/>
      <c r="E4" s="1056"/>
      <c r="F4" s="1056"/>
      <c r="G4" s="1056"/>
      <c r="H4" s="1056"/>
      <c r="I4" s="1056"/>
      <c r="J4" s="1056"/>
      <c r="K4" s="1056"/>
      <c r="L4" s="1056"/>
      <c r="M4" s="1056"/>
      <c r="N4" s="1056"/>
      <c r="O4" s="70"/>
    </row>
    <row r="5" spans="1:19" ht="18" x14ac:dyDescent="0.25">
      <c r="A5" s="987" t="s">
        <v>799</v>
      </c>
      <c r="B5" s="987"/>
      <c r="C5" s="987"/>
      <c r="D5" s="987"/>
      <c r="E5" s="987"/>
      <c r="F5" s="987"/>
      <c r="G5" s="987"/>
      <c r="H5" s="987"/>
      <c r="I5" s="987"/>
      <c r="J5" s="987"/>
      <c r="K5" s="987"/>
      <c r="L5" s="987"/>
      <c r="M5" s="987"/>
      <c r="N5" s="987"/>
    </row>
    <row r="6" spans="1:19" ht="6" customHeight="1" x14ac:dyDescent="0.25">
      <c r="A6" s="436"/>
      <c r="B6" s="436"/>
      <c r="C6" s="436"/>
      <c r="D6" s="436"/>
      <c r="E6" s="436"/>
      <c r="F6" s="436"/>
      <c r="G6" s="436"/>
      <c r="H6" s="436"/>
      <c r="I6" s="436"/>
      <c r="J6" s="436"/>
      <c r="K6" s="436"/>
      <c r="L6" s="436"/>
      <c r="M6" s="436"/>
      <c r="N6" s="436"/>
    </row>
    <row r="7" spans="1:19" s="468" customFormat="1" x14ac:dyDescent="0.2">
      <c r="A7" s="1068" t="s">
        <v>463</v>
      </c>
      <c r="B7" s="1068"/>
      <c r="C7" s="1068"/>
      <c r="L7" s="1061" t="s">
        <v>910</v>
      </c>
      <c r="M7" s="1061"/>
      <c r="N7" s="1061"/>
      <c r="Q7"/>
      <c r="R7"/>
    </row>
    <row r="8" spans="1:19" ht="15.75" customHeight="1" x14ac:dyDescent="0.2">
      <c r="A8" s="1064" t="s">
        <v>2</v>
      </c>
      <c r="B8" s="1064" t="s">
        <v>3</v>
      </c>
      <c r="C8" s="1072" t="s">
        <v>4</v>
      </c>
      <c r="D8" s="1072"/>
      <c r="E8" s="1072"/>
      <c r="F8" s="1072"/>
      <c r="G8" s="1072"/>
      <c r="H8" s="1072" t="s">
        <v>108</v>
      </c>
      <c r="I8" s="1072"/>
      <c r="J8" s="1072"/>
      <c r="K8" s="1072"/>
      <c r="L8" s="1072"/>
      <c r="M8" s="1064" t="s">
        <v>146</v>
      </c>
      <c r="N8" s="1064" t="s">
        <v>147</v>
      </c>
    </row>
    <row r="9" spans="1:19" ht="43.5" customHeight="1" x14ac:dyDescent="0.2">
      <c r="A9" s="1064"/>
      <c r="B9" s="1064"/>
      <c r="C9" s="195" t="s">
        <v>5</v>
      </c>
      <c r="D9" s="195" t="s">
        <v>6</v>
      </c>
      <c r="E9" s="195" t="s">
        <v>499</v>
      </c>
      <c r="F9" s="195" t="s">
        <v>106</v>
      </c>
      <c r="G9" s="195" t="s">
        <v>228</v>
      </c>
      <c r="H9" s="201" t="s">
        <v>5</v>
      </c>
      <c r="I9" s="195" t="s">
        <v>6</v>
      </c>
      <c r="J9" s="195" t="s">
        <v>499</v>
      </c>
      <c r="K9" s="195" t="s">
        <v>106</v>
      </c>
      <c r="L9" s="195" t="s">
        <v>227</v>
      </c>
      <c r="M9" s="1064"/>
      <c r="N9" s="1064"/>
      <c r="S9" s="9"/>
    </row>
    <row r="10" spans="1:19" s="11" customFormat="1" x14ac:dyDescent="0.2">
      <c r="A10" s="195">
        <v>1</v>
      </c>
      <c r="B10" s="195">
        <v>2</v>
      </c>
      <c r="C10" s="195">
        <v>3</v>
      </c>
      <c r="D10" s="195">
        <v>4</v>
      </c>
      <c r="E10" s="195">
        <v>5</v>
      </c>
      <c r="F10" s="195">
        <v>6</v>
      </c>
      <c r="G10" s="195">
        <v>7</v>
      </c>
      <c r="H10" s="201">
        <v>8</v>
      </c>
      <c r="I10" s="195">
        <v>9</v>
      </c>
      <c r="J10" s="195">
        <v>10</v>
      </c>
      <c r="K10" s="195">
        <v>11</v>
      </c>
      <c r="L10" s="195">
        <v>12</v>
      </c>
      <c r="M10" s="195">
        <v>13</v>
      </c>
      <c r="N10" s="195">
        <v>14</v>
      </c>
      <c r="Q10"/>
      <c r="R10"/>
    </row>
    <row r="11" spans="1:19" ht="24.95" customHeight="1" x14ac:dyDescent="0.2">
      <c r="A11" s="194">
        <v>1</v>
      </c>
      <c r="B11" s="225" t="s">
        <v>392</v>
      </c>
      <c r="C11" s="92">
        <v>1</v>
      </c>
      <c r="D11" s="92">
        <v>2</v>
      </c>
      <c r="E11" s="92">
        <v>0</v>
      </c>
      <c r="F11" s="92">
        <v>0</v>
      </c>
      <c r="G11" s="69">
        <f>C11+D11+E11+F11</f>
        <v>3</v>
      </c>
      <c r="H11" s="623">
        <v>1</v>
      </c>
      <c r="I11" s="474">
        <v>1</v>
      </c>
      <c r="J11" s="474">
        <v>0</v>
      </c>
      <c r="K11" s="474">
        <v>0</v>
      </c>
      <c r="L11" s="69">
        <v>2</v>
      </c>
      <c r="M11" s="613">
        <f>G11-L11</f>
        <v>1</v>
      </c>
      <c r="N11" s="218"/>
    </row>
    <row r="12" spans="1:19" ht="24.95" customHeight="1" x14ac:dyDescent="0.2">
      <c r="A12" s="194">
        <v>2</v>
      </c>
      <c r="B12" s="225" t="s">
        <v>393</v>
      </c>
      <c r="C12" s="92">
        <v>0</v>
      </c>
      <c r="D12" s="92">
        <v>0</v>
      </c>
      <c r="E12" s="92">
        <v>0</v>
      </c>
      <c r="F12" s="92">
        <v>0</v>
      </c>
      <c r="G12" s="69">
        <f t="shared" ref="G12:G23" si="0">C12+D12+E12+F12</f>
        <v>0</v>
      </c>
      <c r="H12" s="623">
        <v>0</v>
      </c>
      <c r="I12" s="352">
        <v>0</v>
      </c>
      <c r="J12" s="352">
        <v>0</v>
      </c>
      <c r="K12" s="352">
        <v>0</v>
      </c>
      <c r="L12" s="69">
        <v>0</v>
      </c>
      <c r="M12" s="613">
        <f t="shared" ref="M12:M23" si="1">G12-L12</f>
        <v>0</v>
      </c>
      <c r="N12" s="218"/>
    </row>
    <row r="13" spans="1:19" ht="24.95" customHeight="1" x14ac:dyDescent="0.2">
      <c r="A13" s="194">
        <v>3</v>
      </c>
      <c r="B13" s="225" t="s">
        <v>394</v>
      </c>
      <c r="C13" s="92">
        <v>0</v>
      </c>
      <c r="D13" s="92">
        <v>0</v>
      </c>
      <c r="E13" s="92">
        <v>0</v>
      </c>
      <c r="F13" s="92">
        <v>0</v>
      </c>
      <c r="G13" s="69">
        <f t="shared" si="0"/>
        <v>0</v>
      </c>
      <c r="H13" s="623">
        <v>0</v>
      </c>
      <c r="I13" s="352">
        <v>0</v>
      </c>
      <c r="J13" s="352">
        <v>0</v>
      </c>
      <c r="K13" s="352">
        <v>0</v>
      </c>
      <c r="L13" s="69">
        <v>0</v>
      </c>
      <c r="M13" s="613">
        <f t="shared" si="1"/>
        <v>0</v>
      </c>
      <c r="N13" s="218"/>
    </row>
    <row r="14" spans="1:19" ht="24.95" customHeight="1" x14ac:dyDescent="0.2">
      <c r="A14" s="194">
        <v>4</v>
      </c>
      <c r="B14" s="225" t="s">
        <v>395</v>
      </c>
      <c r="C14" s="92">
        <v>0</v>
      </c>
      <c r="D14" s="92">
        <v>0</v>
      </c>
      <c r="E14" s="92">
        <v>0</v>
      </c>
      <c r="F14" s="92">
        <v>0</v>
      </c>
      <c r="G14" s="69">
        <f t="shared" si="0"/>
        <v>0</v>
      </c>
      <c r="H14" s="623">
        <v>0</v>
      </c>
      <c r="I14" s="352">
        <v>0</v>
      </c>
      <c r="J14" s="352">
        <v>0</v>
      </c>
      <c r="K14" s="352">
        <v>0</v>
      </c>
      <c r="L14" s="69">
        <v>0</v>
      </c>
      <c r="M14" s="613">
        <f t="shared" si="1"/>
        <v>0</v>
      </c>
      <c r="N14" s="218"/>
    </row>
    <row r="15" spans="1:19" ht="24.95" customHeight="1" x14ac:dyDescent="0.2">
      <c r="A15" s="194">
        <v>5</v>
      </c>
      <c r="B15" s="227" t="s">
        <v>396</v>
      </c>
      <c r="C15" s="92">
        <v>1</v>
      </c>
      <c r="D15" s="92">
        <v>21</v>
      </c>
      <c r="E15" s="92">
        <v>0</v>
      </c>
      <c r="F15" s="92">
        <v>1</v>
      </c>
      <c r="G15" s="69">
        <f t="shared" si="0"/>
        <v>23</v>
      </c>
      <c r="H15" s="623">
        <v>1</v>
      </c>
      <c r="I15" s="352">
        <v>20</v>
      </c>
      <c r="J15" s="352">
        <v>0</v>
      </c>
      <c r="K15" s="352">
        <v>1</v>
      </c>
      <c r="L15" s="69">
        <v>22</v>
      </c>
      <c r="M15" s="613">
        <f t="shared" si="1"/>
        <v>1</v>
      </c>
      <c r="N15" s="218"/>
    </row>
    <row r="16" spans="1:19" ht="24.95" customHeight="1" x14ac:dyDescent="0.2">
      <c r="A16" s="194">
        <v>6</v>
      </c>
      <c r="B16" s="225" t="s">
        <v>397</v>
      </c>
      <c r="C16" s="92">
        <v>4</v>
      </c>
      <c r="D16" s="92">
        <v>15</v>
      </c>
      <c r="E16" s="92">
        <v>0</v>
      </c>
      <c r="F16" s="92">
        <v>10</v>
      </c>
      <c r="G16" s="69">
        <f t="shared" si="0"/>
        <v>29</v>
      </c>
      <c r="H16" s="623">
        <v>4</v>
      </c>
      <c r="I16" s="352">
        <v>13</v>
      </c>
      <c r="J16" s="352">
        <v>0</v>
      </c>
      <c r="K16" s="352">
        <v>12</v>
      </c>
      <c r="L16" s="69">
        <v>29</v>
      </c>
      <c r="M16" s="613">
        <f t="shared" si="1"/>
        <v>0</v>
      </c>
      <c r="N16" s="218"/>
    </row>
    <row r="17" spans="1:17" ht="24.95" customHeight="1" x14ac:dyDescent="0.2">
      <c r="A17" s="194">
        <v>7</v>
      </c>
      <c r="B17" s="227" t="s">
        <v>398</v>
      </c>
      <c r="C17" s="92">
        <v>1</v>
      </c>
      <c r="D17" s="92">
        <v>3</v>
      </c>
      <c r="E17" s="92">
        <v>0</v>
      </c>
      <c r="F17" s="92">
        <v>2</v>
      </c>
      <c r="G17" s="69">
        <f t="shared" si="0"/>
        <v>6</v>
      </c>
      <c r="H17" s="623">
        <v>1</v>
      </c>
      <c r="I17" s="352">
        <v>3</v>
      </c>
      <c r="J17" s="352">
        <v>0</v>
      </c>
      <c r="K17" s="352">
        <v>2</v>
      </c>
      <c r="L17" s="69">
        <v>6</v>
      </c>
      <c r="M17" s="613">
        <f t="shared" si="1"/>
        <v>0</v>
      </c>
      <c r="N17" s="218"/>
    </row>
    <row r="18" spans="1:17" ht="24.95" customHeight="1" x14ac:dyDescent="0.2">
      <c r="A18" s="194">
        <v>8</v>
      </c>
      <c r="B18" s="225" t="s">
        <v>399</v>
      </c>
      <c r="C18" s="92">
        <v>3</v>
      </c>
      <c r="D18" s="92">
        <v>4</v>
      </c>
      <c r="E18" s="92">
        <v>0</v>
      </c>
      <c r="F18" s="92">
        <v>0</v>
      </c>
      <c r="G18" s="69">
        <f t="shared" si="0"/>
        <v>7</v>
      </c>
      <c r="H18" s="623">
        <v>3</v>
      </c>
      <c r="I18" s="352">
        <v>1</v>
      </c>
      <c r="J18" s="352">
        <v>0</v>
      </c>
      <c r="K18" s="352">
        <v>0</v>
      </c>
      <c r="L18" s="69">
        <v>4</v>
      </c>
      <c r="M18" s="613">
        <f t="shared" si="1"/>
        <v>3</v>
      </c>
      <c r="N18" s="218"/>
    </row>
    <row r="19" spans="1:17" ht="24.95" customHeight="1" x14ac:dyDescent="0.2">
      <c r="A19" s="194">
        <v>9</v>
      </c>
      <c r="B19" s="225" t="s">
        <v>400</v>
      </c>
      <c r="C19" s="92">
        <v>7</v>
      </c>
      <c r="D19" s="92">
        <v>1</v>
      </c>
      <c r="E19" s="92">
        <v>0</v>
      </c>
      <c r="F19" s="92">
        <v>0</v>
      </c>
      <c r="G19" s="69">
        <f t="shared" si="0"/>
        <v>8</v>
      </c>
      <c r="H19" s="623">
        <v>6</v>
      </c>
      <c r="I19" s="352">
        <v>1</v>
      </c>
      <c r="J19" s="352">
        <v>0</v>
      </c>
      <c r="K19" s="352">
        <v>0</v>
      </c>
      <c r="L19" s="69">
        <v>7</v>
      </c>
      <c r="M19" s="613">
        <f t="shared" si="1"/>
        <v>1</v>
      </c>
      <c r="N19" s="218"/>
    </row>
    <row r="20" spans="1:17" ht="24.95" customHeight="1" x14ac:dyDescent="0.2">
      <c r="A20" s="194">
        <v>10</v>
      </c>
      <c r="B20" s="225" t="s">
        <v>401</v>
      </c>
      <c r="C20" s="92">
        <v>0</v>
      </c>
      <c r="D20" s="92">
        <v>0</v>
      </c>
      <c r="E20" s="92">
        <v>0</v>
      </c>
      <c r="F20" s="92">
        <v>0</v>
      </c>
      <c r="G20" s="69">
        <f t="shared" si="0"/>
        <v>0</v>
      </c>
      <c r="H20" s="623">
        <v>0</v>
      </c>
      <c r="I20" s="352">
        <v>0</v>
      </c>
      <c r="J20" s="352">
        <v>0</v>
      </c>
      <c r="K20" s="352">
        <v>0</v>
      </c>
      <c r="L20" s="69">
        <v>0</v>
      </c>
      <c r="M20" s="613">
        <f t="shared" si="1"/>
        <v>0</v>
      </c>
      <c r="N20" s="218"/>
    </row>
    <row r="21" spans="1:17" ht="24.95" customHeight="1" x14ac:dyDescent="0.2">
      <c r="A21" s="194">
        <v>11</v>
      </c>
      <c r="B21" s="225" t="s">
        <v>402</v>
      </c>
      <c r="C21" s="92">
        <v>1</v>
      </c>
      <c r="D21" s="92">
        <v>0</v>
      </c>
      <c r="E21" s="92">
        <v>0</v>
      </c>
      <c r="F21" s="92">
        <v>0</v>
      </c>
      <c r="G21" s="69">
        <f t="shared" si="0"/>
        <v>1</v>
      </c>
      <c r="H21" s="623">
        <v>1</v>
      </c>
      <c r="I21" s="352">
        <v>0</v>
      </c>
      <c r="J21" s="352">
        <v>0</v>
      </c>
      <c r="K21" s="352">
        <v>0</v>
      </c>
      <c r="L21" s="69">
        <v>1</v>
      </c>
      <c r="M21" s="613">
        <f>G21-L21</f>
        <v>0</v>
      </c>
      <c r="N21" s="218"/>
    </row>
    <row r="22" spans="1:17" ht="24.95" customHeight="1" x14ac:dyDescent="0.2">
      <c r="A22" s="194">
        <v>12</v>
      </c>
      <c r="B22" s="225" t="s">
        <v>403</v>
      </c>
      <c r="C22" s="92">
        <v>1</v>
      </c>
      <c r="D22" s="92">
        <v>2</v>
      </c>
      <c r="E22" s="92">
        <v>0</v>
      </c>
      <c r="F22" s="92">
        <v>1</v>
      </c>
      <c r="G22" s="69">
        <f>C22+D22+E22+F22</f>
        <v>4</v>
      </c>
      <c r="H22" s="623">
        <v>1</v>
      </c>
      <c r="I22" s="352">
        <v>2</v>
      </c>
      <c r="J22" s="352">
        <v>0</v>
      </c>
      <c r="K22" s="352">
        <v>1</v>
      </c>
      <c r="L22" s="69">
        <v>4</v>
      </c>
      <c r="M22" s="634">
        <f>G22-L22</f>
        <v>0</v>
      </c>
      <c r="N22" s="218"/>
    </row>
    <row r="23" spans="1:17" ht="24.95" customHeight="1" x14ac:dyDescent="0.2">
      <c r="A23" s="194">
        <v>13</v>
      </c>
      <c r="B23" s="225" t="s">
        <v>404</v>
      </c>
      <c r="C23" s="92">
        <v>1</v>
      </c>
      <c r="D23" s="92">
        <v>0</v>
      </c>
      <c r="E23" s="92">
        <v>0</v>
      </c>
      <c r="F23" s="92">
        <v>0</v>
      </c>
      <c r="G23" s="69">
        <f t="shared" si="0"/>
        <v>1</v>
      </c>
      <c r="H23" s="623">
        <v>0</v>
      </c>
      <c r="I23" s="352">
        <v>0</v>
      </c>
      <c r="J23" s="352">
        <v>0</v>
      </c>
      <c r="K23" s="352">
        <v>0</v>
      </c>
      <c r="L23" s="69">
        <v>0</v>
      </c>
      <c r="M23" s="613">
        <f t="shared" si="1"/>
        <v>1</v>
      </c>
      <c r="N23" s="218"/>
    </row>
    <row r="24" spans="1:17" s="11" customFormat="1" ht="21" customHeight="1" x14ac:dyDescent="0.2">
      <c r="A24" s="194" t="s">
        <v>18</v>
      </c>
      <c r="B24" s="194"/>
      <c r="C24" s="194">
        <f>SUM(C11:C23)</f>
        <v>20</v>
      </c>
      <c r="D24" s="194">
        <f t="shared" ref="D24:M24" si="2">SUM(D11:D23)</f>
        <v>48</v>
      </c>
      <c r="E24" s="194">
        <f t="shared" si="2"/>
        <v>0</v>
      </c>
      <c r="F24" s="194">
        <f t="shared" si="2"/>
        <v>14</v>
      </c>
      <c r="G24" s="194">
        <f t="shared" si="2"/>
        <v>82</v>
      </c>
      <c r="H24" s="583">
        <f t="shared" si="2"/>
        <v>18</v>
      </c>
      <c r="I24" s="194">
        <f t="shared" si="2"/>
        <v>41</v>
      </c>
      <c r="J24" s="194">
        <f t="shared" si="2"/>
        <v>0</v>
      </c>
      <c r="K24" s="194">
        <f t="shared" si="2"/>
        <v>16</v>
      </c>
      <c r="L24" s="194">
        <f t="shared" si="2"/>
        <v>75</v>
      </c>
      <c r="M24" s="194">
        <f t="shared" si="2"/>
        <v>7</v>
      </c>
      <c r="N24" s="194"/>
    </row>
    <row r="25" spans="1:17" x14ac:dyDescent="0.2">
      <c r="A25" s="8"/>
      <c r="B25" s="9"/>
      <c r="C25" s="9"/>
      <c r="D25" s="9"/>
      <c r="E25" s="9"/>
      <c r="F25" s="9"/>
      <c r="G25" s="9"/>
      <c r="H25" s="9"/>
      <c r="I25" s="9"/>
      <c r="J25" s="9"/>
      <c r="K25" s="9"/>
      <c r="L25" s="9"/>
      <c r="M25" s="9"/>
      <c r="N25" s="9"/>
      <c r="Q25" s="11"/>
    </row>
    <row r="26" spans="1:17" x14ac:dyDescent="0.2">
      <c r="A26" s="475" t="s">
        <v>7</v>
      </c>
      <c r="J26" s="1072" t="s">
        <v>743</v>
      </c>
      <c r="K26" s="1072"/>
      <c r="L26" s="1072"/>
      <c r="Q26" s="11"/>
    </row>
    <row r="27" spans="1:17" x14ac:dyDescent="0.2">
      <c r="A27" s="468" t="s">
        <v>8</v>
      </c>
      <c r="J27" s="1076" t="s">
        <v>744</v>
      </c>
      <c r="K27" s="1076"/>
      <c r="L27" s="1076"/>
      <c r="Q27" s="11"/>
    </row>
    <row r="28" spans="1:17" ht="12.75" customHeight="1" x14ac:dyDescent="0.2">
      <c r="A28" s="468" t="s">
        <v>9</v>
      </c>
      <c r="J28" s="9"/>
      <c r="K28" s="9"/>
      <c r="L28" s="9"/>
      <c r="M28" s="8"/>
      <c r="N28" s="8" t="s">
        <v>10</v>
      </c>
    </row>
    <row r="29" spans="1:17" x14ac:dyDescent="0.2">
      <c r="A29" s="476" t="s">
        <v>596</v>
      </c>
      <c r="B29" s="298"/>
      <c r="C29" s="298"/>
      <c r="J29" s="636"/>
      <c r="K29" s="636"/>
      <c r="L29" s="636"/>
      <c r="M29" s="8"/>
      <c r="N29" s="8"/>
    </row>
    <row r="30" spans="1:17" x14ac:dyDescent="0.2">
      <c r="E30" s="9"/>
      <c r="F30" s="9"/>
      <c r="G30" s="9"/>
      <c r="H30" s="9"/>
      <c r="I30" s="9"/>
      <c r="J30" s="9"/>
      <c r="K30" s="9"/>
      <c r="L30" s="9"/>
      <c r="M30" s="9"/>
      <c r="N30" s="9"/>
    </row>
    <row r="31" spans="1:17" x14ac:dyDescent="0.2">
      <c r="A31" s="12"/>
      <c r="B31" s="12"/>
      <c r="C31" s="12"/>
      <c r="D31" s="12"/>
      <c r="E31" s="16"/>
      <c r="F31" s="16"/>
      <c r="G31" s="16"/>
      <c r="H31" s="16"/>
      <c r="I31" s="16"/>
      <c r="J31" s="16"/>
      <c r="K31" s="16"/>
      <c r="L31" s="16"/>
      <c r="M31" s="16"/>
      <c r="N31" s="16"/>
    </row>
    <row r="32" spans="1:17" x14ac:dyDescent="0.2">
      <c r="A32" s="472" t="s">
        <v>626</v>
      </c>
      <c r="B32" s="246"/>
      <c r="C32" s="246"/>
      <c r="D32" s="246"/>
      <c r="E32" s="246"/>
      <c r="F32" s="246"/>
      <c r="G32" s="246"/>
      <c r="H32" s="246"/>
      <c r="I32" s="471"/>
      <c r="J32" s="471"/>
      <c r="K32" s="471"/>
      <c r="L32" s="1011" t="s">
        <v>12</v>
      </c>
      <c r="M32" s="1011"/>
      <c r="N32" s="1011"/>
    </row>
    <row r="33" spans="1:14" x14ac:dyDescent="0.2">
      <c r="A33" s="1074" t="s">
        <v>13</v>
      </c>
      <c r="B33" s="1074"/>
      <c r="C33" s="1074"/>
      <c r="D33" s="1074"/>
      <c r="E33" s="1074"/>
      <c r="F33" s="1074"/>
      <c r="G33" s="1074"/>
      <c r="H33" s="1074"/>
      <c r="I33" s="1074"/>
      <c r="J33" s="1074"/>
      <c r="K33" s="1074"/>
      <c r="L33" s="1074"/>
      <c r="M33" s="1074"/>
      <c r="N33" s="1074"/>
    </row>
    <row r="34" spans="1:14" x14ac:dyDescent="0.2">
      <c r="A34" s="1074" t="s">
        <v>14</v>
      </c>
      <c r="B34" s="1074"/>
      <c r="C34" s="1074"/>
      <c r="D34" s="1074"/>
      <c r="E34" s="1074"/>
      <c r="F34" s="1074"/>
      <c r="G34" s="1074"/>
      <c r="H34" s="1074"/>
      <c r="I34" s="1074"/>
      <c r="J34" s="1074"/>
      <c r="K34" s="1074"/>
      <c r="L34" s="1074"/>
      <c r="M34" s="1074"/>
      <c r="N34" s="1074"/>
    </row>
    <row r="35" spans="1:14" x14ac:dyDescent="0.2">
      <c r="L35" s="1" t="s">
        <v>85</v>
      </c>
    </row>
    <row r="37" spans="1:14" x14ac:dyDescent="0.2">
      <c r="A37" s="1075"/>
      <c r="B37" s="1075"/>
      <c r="C37" s="1075"/>
      <c r="D37" s="1075"/>
      <c r="E37" s="1075"/>
      <c r="F37" s="1075"/>
      <c r="G37" s="1075"/>
      <c r="H37" s="1075"/>
      <c r="I37" s="1075"/>
      <c r="J37" s="1075"/>
      <c r="K37" s="1075"/>
      <c r="L37" s="1075"/>
      <c r="M37" s="1075"/>
      <c r="N37" s="1075"/>
    </row>
  </sheetData>
  <mergeCells count="19">
    <mergeCell ref="A37:N37"/>
    <mergeCell ref="L32:N32"/>
    <mergeCell ref="A33:N33"/>
    <mergeCell ref="M8:M9"/>
    <mergeCell ref="C8:G8"/>
    <mergeCell ref="N8:N9"/>
    <mergeCell ref="B8:B9"/>
    <mergeCell ref="J26:L26"/>
    <mergeCell ref="J27:L27"/>
    <mergeCell ref="H8:L8"/>
    <mergeCell ref="A8:A9"/>
    <mergeCell ref="A4:N4"/>
    <mergeCell ref="A5:N5"/>
    <mergeCell ref="L7:N7"/>
    <mergeCell ref="A34:N34"/>
    <mergeCell ref="M2:N2"/>
    <mergeCell ref="A7:C7"/>
    <mergeCell ref="D2:J2"/>
    <mergeCell ref="A3:N3"/>
  </mergeCells>
  <phoneticPr fontId="0" type="noConversion"/>
  <printOptions horizontalCentered="1"/>
  <pageMargins left="0.37" right="0.32" top="0.23622047244094491" bottom="0" header="0.31496062992125984" footer="0.22"/>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pageSetUpPr fitToPage="1"/>
  </sheetPr>
  <dimension ref="A2:S37"/>
  <sheetViews>
    <sheetView view="pageBreakPreview" topLeftCell="A11" zoomScaleSheetLayoutView="100" workbookViewId="0">
      <selection activeCell="H12" sqref="H12:L24"/>
    </sheetView>
  </sheetViews>
  <sheetFormatPr defaultRowHeight="12.75" x14ac:dyDescent="0.2"/>
  <cols>
    <col min="1" max="1" width="6.28515625" customWidth="1"/>
    <col min="2" max="2" width="19.5703125" customWidth="1"/>
    <col min="3" max="3" width="11.85546875" customWidth="1"/>
    <col min="5" max="5" width="9.5703125" customWidth="1"/>
    <col min="6" max="6" width="9.7109375" customWidth="1"/>
    <col min="7" max="7" width="9.28515625" customWidth="1"/>
    <col min="8" max="8" width="10.5703125" customWidth="1"/>
    <col min="9" max="9" width="9.85546875" customWidth="1"/>
    <col min="11" max="11" width="11.85546875" customWidth="1"/>
    <col min="12" max="12" width="11.140625" customWidth="1"/>
    <col min="13" max="13" width="10.7109375" customWidth="1"/>
    <col min="14" max="14" width="17.7109375" customWidth="1"/>
  </cols>
  <sheetData>
    <row r="2" spans="1:19" ht="12.75" customHeight="1" x14ac:dyDescent="0.2">
      <c r="D2" s="985"/>
      <c r="E2" s="985"/>
      <c r="F2" s="985"/>
      <c r="G2" s="985"/>
      <c r="H2" s="985"/>
      <c r="I2" s="985"/>
      <c r="J2" s="985"/>
      <c r="M2" s="1060" t="s">
        <v>285</v>
      </c>
      <c r="N2" s="1060"/>
    </row>
    <row r="3" spans="1:19" ht="15" x14ac:dyDescent="0.2">
      <c r="A3" s="1080" t="s">
        <v>0</v>
      </c>
      <c r="B3" s="1080"/>
      <c r="C3" s="1080"/>
      <c r="D3" s="1080"/>
      <c r="E3" s="1080"/>
      <c r="F3" s="1080"/>
      <c r="G3" s="1080"/>
      <c r="H3" s="1080"/>
      <c r="I3" s="1080"/>
      <c r="J3" s="1080"/>
      <c r="K3" s="1080"/>
      <c r="L3" s="1080"/>
      <c r="M3" s="1080"/>
      <c r="N3" s="1080"/>
    </row>
    <row r="4" spans="1:19" ht="15.75" x14ac:dyDescent="0.25">
      <c r="A4" s="1056" t="s">
        <v>794</v>
      </c>
      <c r="B4" s="1056"/>
      <c r="C4" s="1056"/>
      <c r="D4" s="1056"/>
      <c r="E4" s="1056"/>
      <c r="F4" s="1056"/>
      <c r="G4" s="1056"/>
      <c r="H4" s="1056"/>
      <c r="I4" s="1056"/>
      <c r="J4" s="1056"/>
      <c r="K4" s="1056"/>
      <c r="L4" s="1056"/>
      <c r="M4" s="1056"/>
      <c r="N4" s="1056"/>
      <c r="O4" s="70"/>
      <c r="P4" s="70"/>
      <c r="Q4" s="70"/>
    </row>
    <row r="5" spans="1:19" ht="11.25" customHeight="1" x14ac:dyDescent="0.2"/>
    <row r="6" spans="1:19" ht="18" x14ac:dyDescent="0.25">
      <c r="A6" s="987" t="s">
        <v>800</v>
      </c>
      <c r="B6" s="987"/>
      <c r="C6" s="987"/>
      <c r="D6" s="987"/>
      <c r="E6" s="987"/>
      <c r="F6" s="987"/>
      <c r="G6" s="987"/>
      <c r="H6" s="987"/>
      <c r="I6" s="987"/>
      <c r="J6" s="987"/>
      <c r="K6" s="987"/>
      <c r="L6" s="987"/>
      <c r="M6" s="987"/>
      <c r="N6" s="987"/>
    </row>
    <row r="8" spans="1:19" x14ac:dyDescent="0.2">
      <c r="A8" s="985" t="s">
        <v>463</v>
      </c>
      <c r="B8" s="985"/>
      <c r="C8" s="985"/>
      <c r="L8" s="1081" t="s">
        <v>911</v>
      </c>
      <c r="M8" s="1081"/>
      <c r="N8" s="1081"/>
      <c r="O8" s="73"/>
    </row>
    <row r="9" spans="1:19" ht="18" customHeight="1" x14ac:dyDescent="0.2">
      <c r="A9" s="1064" t="s">
        <v>2</v>
      </c>
      <c r="B9" s="1064" t="s">
        <v>3</v>
      </c>
      <c r="C9" s="1072" t="s">
        <v>4</v>
      </c>
      <c r="D9" s="1072"/>
      <c r="E9" s="1072"/>
      <c r="F9" s="1072"/>
      <c r="G9" s="1072"/>
      <c r="H9" s="1072" t="s">
        <v>108</v>
      </c>
      <c r="I9" s="1072"/>
      <c r="J9" s="1072"/>
      <c r="K9" s="1072"/>
      <c r="L9" s="1072"/>
      <c r="M9" s="1064" t="s">
        <v>146</v>
      </c>
      <c r="N9" s="1064" t="s">
        <v>147</v>
      </c>
    </row>
    <row r="10" spans="1:19" ht="38.25" x14ac:dyDescent="0.2">
      <c r="A10" s="1064"/>
      <c r="B10" s="1064"/>
      <c r="C10" s="195" t="s">
        <v>627</v>
      </c>
      <c r="D10" s="195" t="s">
        <v>6</v>
      </c>
      <c r="E10" s="195" t="s">
        <v>499</v>
      </c>
      <c r="F10" s="195" t="s">
        <v>106</v>
      </c>
      <c r="G10" s="195" t="s">
        <v>228</v>
      </c>
      <c r="H10" s="195" t="s">
        <v>5</v>
      </c>
      <c r="I10" s="195" t="s">
        <v>6</v>
      </c>
      <c r="J10" s="195" t="s">
        <v>499</v>
      </c>
      <c r="K10" s="195" t="s">
        <v>106</v>
      </c>
      <c r="L10" s="195" t="s">
        <v>126</v>
      </c>
      <c r="M10" s="1064"/>
      <c r="N10" s="1064"/>
      <c r="R10" s="9"/>
      <c r="S10" s="9"/>
    </row>
    <row r="11" spans="1:19" s="11" customFormat="1" x14ac:dyDescent="0.2">
      <c r="A11" s="195">
        <v>1</v>
      </c>
      <c r="B11" s="195">
        <v>2</v>
      </c>
      <c r="C11" s="195">
        <v>3</v>
      </c>
      <c r="D11" s="195">
        <v>4</v>
      </c>
      <c r="E11" s="195">
        <v>5</v>
      </c>
      <c r="F11" s="195">
        <v>6</v>
      </c>
      <c r="G11" s="195">
        <v>7</v>
      </c>
      <c r="H11" s="195">
        <v>8</v>
      </c>
      <c r="I11" s="195">
        <v>9</v>
      </c>
      <c r="J11" s="195">
        <v>10</v>
      </c>
      <c r="K11" s="194">
        <v>11</v>
      </c>
      <c r="L11" s="196">
        <v>12</v>
      </c>
      <c r="M11" s="196">
        <v>13</v>
      </c>
      <c r="N11" s="194">
        <v>14</v>
      </c>
    </row>
    <row r="12" spans="1:19" ht="24.95" customHeight="1" x14ac:dyDescent="0.2">
      <c r="A12" s="210">
        <v>1</v>
      </c>
      <c r="B12" s="473" t="s">
        <v>392</v>
      </c>
      <c r="C12" s="438">
        <v>443</v>
      </c>
      <c r="D12" s="438">
        <v>57</v>
      </c>
      <c r="E12" s="438">
        <v>0</v>
      </c>
      <c r="F12" s="438">
        <v>0</v>
      </c>
      <c r="G12" s="69">
        <f>C12+D12+E12+F12</f>
        <v>500</v>
      </c>
      <c r="H12" s="619">
        <v>437</v>
      </c>
      <c r="I12" s="617">
        <v>54</v>
      </c>
      <c r="J12" s="477">
        <v>0</v>
      </c>
      <c r="K12" s="615">
        <v>0</v>
      </c>
      <c r="L12" s="69">
        <v>491</v>
      </c>
      <c r="M12" s="612">
        <f>G12-L12</f>
        <v>9</v>
      </c>
      <c r="N12" s="439"/>
      <c r="R12" s="9"/>
    </row>
    <row r="13" spans="1:19" ht="24.95" customHeight="1" x14ac:dyDescent="0.2">
      <c r="A13" s="194">
        <v>2</v>
      </c>
      <c r="B13" s="225" t="s">
        <v>393</v>
      </c>
      <c r="C13" s="92">
        <v>202</v>
      </c>
      <c r="D13" s="92">
        <v>24</v>
      </c>
      <c r="E13" s="92">
        <v>0</v>
      </c>
      <c r="F13" s="92">
        <v>0</v>
      </c>
      <c r="G13" s="69">
        <f t="shared" ref="G13:G24" si="0">C13+D13+E13+F13</f>
        <v>226</v>
      </c>
      <c r="H13" s="619">
        <v>206</v>
      </c>
      <c r="I13" s="618">
        <v>19</v>
      </c>
      <c r="J13" s="350">
        <v>0</v>
      </c>
      <c r="K13" s="616">
        <v>0</v>
      </c>
      <c r="L13" s="69">
        <v>225</v>
      </c>
      <c r="M13" s="612">
        <f t="shared" ref="M13:M24" si="1">G13-L13</f>
        <v>1</v>
      </c>
      <c r="N13" s="218"/>
      <c r="P13" s="11"/>
      <c r="Q13" s="11"/>
      <c r="R13" s="11"/>
    </row>
    <row r="14" spans="1:19" ht="24.95" customHeight="1" x14ac:dyDescent="0.2">
      <c r="A14" s="194">
        <v>3</v>
      </c>
      <c r="B14" s="225" t="s">
        <v>394</v>
      </c>
      <c r="C14" s="92">
        <v>406</v>
      </c>
      <c r="D14" s="92">
        <v>23</v>
      </c>
      <c r="E14" s="92">
        <v>0</v>
      </c>
      <c r="F14" s="92">
        <v>0</v>
      </c>
      <c r="G14" s="69">
        <f t="shared" si="0"/>
        <v>429</v>
      </c>
      <c r="H14" s="619">
        <v>404</v>
      </c>
      <c r="I14" s="618">
        <v>23</v>
      </c>
      <c r="J14" s="350">
        <v>0</v>
      </c>
      <c r="K14" s="616">
        <v>0</v>
      </c>
      <c r="L14" s="69">
        <v>427</v>
      </c>
      <c r="M14" s="612">
        <f t="shared" si="1"/>
        <v>2</v>
      </c>
      <c r="N14" s="218"/>
      <c r="R14" s="9"/>
    </row>
    <row r="15" spans="1:19" ht="24.95" customHeight="1" x14ac:dyDescent="0.2">
      <c r="A15" s="194">
        <v>4</v>
      </c>
      <c r="B15" s="225" t="s">
        <v>395</v>
      </c>
      <c r="C15" s="92">
        <v>193</v>
      </c>
      <c r="D15" s="92">
        <v>9</v>
      </c>
      <c r="E15" s="92">
        <v>0</v>
      </c>
      <c r="F15" s="92">
        <v>0</v>
      </c>
      <c r="G15" s="69">
        <f t="shared" si="0"/>
        <v>202</v>
      </c>
      <c r="H15" s="619">
        <v>194</v>
      </c>
      <c r="I15" s="618">
        <v>8</v>
      </c>
      <c r="J15" s="350">
        <v>0</v>
      </c>
      <c r="K15" s="616">
        <v>0</v>
      </c>
      <c r="L15" s="69">
        <v>202</v>
      </c>
      <c r="M15" s="612">
        <f t="shared" si="1"/>
        <v>0</v>
      </c>
      <c r="N15" s="218"/>
      <c r="P15" s="11"/>
      <c r="Q15" s="11"/>
      <c r="R15" s="11"/>
    </row>
    <row r="16" spans="1:19" ht="24.95" customHeight="1" x14ac:dyDescent="0.2">
      <c r="A16" s="194">
        <v>5</v>
      </c>
      <c r="B16" s="227" t="s">
        <v>396</v>
      </c>
      <c r="C16" s="92">
        <v>390</v>
      </c>
      <c r="D16" s="92">
        <v>86</v>
      </c>
      <c r="E16" s="92">
        <v>0</v>
      </c>
      <c r="F16" s="92">
        <v>1</v>
      </c>
      <c r="G16" s="69">
        <f t="shared" si="0"/>
        <v>477</v>
      </c>
      <c r="H16" s="619">
        <v>376</v>
      </c>
      <c r="I16" s="618">
        <v>74</v>
      </c>
      <c r="J16" s="350">
        <v>0</v>
      </c>
      <c r="K16" s="616">
        <v>1</v>
      </c>
      <c r="L16" s="69">
        <v>451</v>
      </c>
      <c r="M16" s="612">
        <f t="shared" si="1"/>
        <v>26</v>
      </c>
      <c r="N16" s="218"/>
      <c r="R16" s="9"/>
    </row>
    <row r="17" spans="1:18" ht="24.95" customHeight="1" x14ac:dyDescent="0.2">
      <c r="A17" s="194">
        <v>6</v>
      </c>
      <c r="B17" s="225" t="s">
        <v>397</v>
      </c>
      <c r="C17" s="92">
        <v>228</v>
      </c>
      <c r="D17" s="92">
        <v>74</v>
      </c>
      <c r="E17" s="92">
        <v>0</v>
      </c>
      <c r="F17" s="92">
        <v>4</v>
      </c>
      <c r="G17" s="69">
        <f t="shared" si="0"/>
        <v>306</v>
      </c>
      <c r="H17" s="619">
        <v>234</v>
      </c>
      <c r="I17" s="618">
        <v>61</v>
      </c>
      <c r="J17" s="350">
        <v>0</v>
      </c>
      <c r="K17" s="616">
        <v>3</v>
      </c>
      <c r="L17" s="69">
        <v>298</v>
      </c>
      <c r="M17" s="612">
        <f t="shared" si="1"/>
        <v>8</v>
      </c>
      <c r="N17" s="218"/>
      <c r="P17" s="11"/>
      <c r="Q17" s="11"/>
      <c r="R17" s="11"/>
    </row>
    <row r="18" spans="1:18" ht="24.95" customHeight="1" x14ac:dyDescent="0.2">
      <c r="A18" s="194">
        <v>7</v>
      </c>
      <c r="B18" s="227" t="s">
        <v>398</v>
      </c>
      <c r="C18" s="92">
        <v>426</v>
      </c>
      <c r="D18" s="92">
        <v>33</v>
      </c>
      <c r="E18" s="92">
        <v>0</v>
      </c>
      <c r="F18" s="92">
        <v>0</v>
      </c>
      <c r="G18" s="69">
        <f t="shared" si="0"/>
        <v>459</v>
      </c>
      <c r="H18" s="619">
        <v>412</v>
      </c>
      <c r="I18" s="618">
        <v>35</v>
      </c>
      <c r="J18" s="350">
        <v>0</v>
      </c>
      <c r="K18" s="616">
        <v>0</v>
      </c>
      <c r="L18" s="69">
        <v>447</v>
      </c>
      <c r="M18" s="612">
        <f t="shared" si="1"/>
        <v>12</v>
      </c>
      <c r="N18" s="218"/>
      <c r="R18" s="9"/>
    </row>
    <row r="19" spans="1:18" ht="24.95" customHeight="1" x14ac:dyDescent="0.2">
      <c r="A19" s="194">
        <v>8</v>
      </c>
      <c r="B19" s="225" t="s">
        <v>399</v>
      </c>
      <c r="C19" s="92">
        <v>581</v>
      </c>
      <c r="D19" s="92">
        <v>95</v>
      </c>
      <c r="E19" s="92">
        <v>0</v>
      </c>
      <c r="F19" s="92">
        <v>0</v>
      </c>
      <c r="G19" s="69">
        <f t="shared" si="0"/>
        <v>676</v>
      </c>
      <c r="H19" s="619">
        <v>572</v>
      </c>
      <c r="I19" s="618">
        <v>93</v>
      </c>
      <c r="J19" s="350">
        <v>0</v>
      </c>
      <c r="K19" s="616">
        <v>0</v>
      </c>
      <c r="L19" s="69">
        <v>665</v>
      </c>
      <c r="M19" s="612">
        <f t="shared" si="1"/>
        <v>11</v>
      </c>
      <c r="N19" s="218"/>
      <c r="P19" s="11"/>
      <c r="Q19" s="11"/>
      <c r="R19" s="11"/>
    </row>
    <row r="20" spans="1:18" ht="24.95" customHeight="1" x14ac:dyDescent="0.2">
      <c r="A20" s="194">
        <v>9</v>
      </c>
      <c r="B20" s="225" t="s">
        <v>400</v>
      </c>
      <c r="C20" s="92">
        <v>438</v>
      </c>
      <c r="D20" s="92">
        <v>14</v>
      </c>
      <c r="E20" s="92">
        <v>0</v>
      </c>
      <c r="F20" s="92">
        <v>0</v>
      </c>
      <c r="G20" s="69">
        <f t="shared" si="0"/>
        <v>452</v>
      </c>
      <c r="H20" s="619">
        <v>427</v>
      </c>
      <c r="I20" s="618">
        <v>13</v>
      </c>
      <c r="J20" s="350">
        <v>0</v>
      </c>
      <c r="K20" s="616">
        <v>0</v>
      </c>
      <c r="L20" s="69">
        <v>440</v>
      </c>
      <c r="M20" s="612">
        <f t="shared" si="1"/>
        <v>12</v>
      </c>
      <c r="N20" s="218"/>
      <c r="R20" s="9"/>
    </row>
    <row r="21" spans="1:18" ht="24.95" customHeight="1" x14ac:dyDescent="0.2">
      <c r="A21" s="194">
        <v>10</v>
      </c>
      <c r="B21" s="225" t="s">
        <v>401</v>
      </c>
      <c r="C21" s="92">
        <v>226</v>
      </c>
      <c r="D21" s="92">
        <v>43</v>
      </c>
      <c r="E21" s="92">
        <v>0</v>
      </c>
      <c r="F21" s="92">
        <v>0</v>
      </c>
      <c r="G21" s="69">
        <f t="shared" si="0"/>
        <v>269</v>
      </c>
      <c r="H21" s="619">
        <v>231</v>
      </c>
      <c r="I21" s="618">
        <v>33</v>
      </c>
      <c r="J21" s="350">
        <v>0</v>
      </c>
      <c r="K21" s="616">
        <v>0</v>
      </c>
      <c r="L21" s="69">
        <v>264</v>
      </c>
      <c r="M21" s="612">
        <f t="shared" si="1"/>
        <v>5</v>
      </c>
      <c r="N21" s="218"/>
      <c r="P21" s="11"/>
      <c r="Q21" s="11"/>
      <c r="R21" s="11"/>
    </row>
    <row r="22" spans="1:18" ht="24.95" customHeight="1" x14ac:dyDescent="0.2">
      <c r="A22" s="194">
        <v>11</v>
      </c>
      <c r="B22" s="225" t="s">
        <v>402</v>
      </c>
      <c r="C22" s="92">
        <v>569</v>
      </c>
      <c r="D22" s="92">
        <v>40</v>
      </c>
      <c r="E22" s="92">
        <v>0</v>
      </c>
      <c r="F22" s="92">
        <v>0</v>
      </c>
      <c r="G22" s="69">
        <f t="shared" si="0"/>
        <v>609</v>
      </c>
      <c r="H22" s="619">
        <v>553</v>
      </c>
      <c r="I22" s="618">
        <v>40</v>
      </c>
      <c r="J22" s="350">
        <v>0</v>
      </c>
      <c r="K22" s="616">
        <v>0</v>
      </c>
      <c r="L22" s="69">
        <v>593</v>
      </c>
      <c r="M22" s="612">
        <f t="shared" si="1"/>
        <v>16</v>
      </c>
      <c r="N22" s="218"/>
      <c r="R22" s="9"/>
    </row>
    <row r="23" spans="1:18" ht="24.95" customHeight="1" x14ac:dyDescent="0.2">
      <c r="A23" s="194">
        <v>12</v>
      </c>
      <c r="B23" s="225" t="s">
        <v>403</v>
      </c>
      <c r="C23" s="92">
        <v>319</v>
      </c>
      <c r="D23" s="92">
        <v>56</v>
      </c>
      <c r="E23" s="92">
        <v>0</v>
      </c>
      <c r="F23" s="92">
        <v>27</v>
      </c>
      <c r="G23" s="69">
        <f t="shared" si="0"/>
        <v>402</v>
      </c>
      <c r="H23" s="619">
        <v>320</v>
      </c>
      <c r="I23" s="618">
        <v>61</v>
      </c>
      <c r="J23" s="350">
        <v>0</v>
      </c>
      <c r="K23" s="616">
        <v>20</v>
      </c>
      <c r="L23" s="69">
        <v>401</v>
      </c>
      <c r="M23" s="612">
        <f t="shared" si="1"/>
        <v>1</v>
      </c>
      <c r="N23" s="218"/>
      <c r="P23" s="11"/>
      <c r="Q23" s="11"/>
      <c r="R23" s="11"/>
    </row>
    <row r="24" spans="1:18" ht="24.95" customHeight="1" x14ac:dyDescent="0.2">
      <c r="A24" s="194">
        <v>13</v>
      </c>
      <c r="B24" s="225" t="s">
        <v>404</v>
      </c>
      <c r="C24" s="92">
        <v>338</v>
      </c>
      <c r="D24" s="92">
        <v>4</v>
      </c>
      <c r="E24" s="92">
        <v>0</v>
      </c>
      <c r="F24" s="92">
        <v>0</v>
      </c>
      <c r="G24" s="69">
        <f t="shared" si="0"/>
        <v>342</v>
      </c>
      <c r="H24" s="619">
        <v>325</v>
      </c>
      <c r="I24" s="618">
        <v>4</v>
      </c>
      <c r="J24" s="350">
        <v>0</v>
      </c>
      <c r="K24" s="616">
        <v>0</v>
      </c>
      <c r="L24" s="69">
        <v>329</v>
      </c>
      <c r="M24" s="612">
        <f t="shared" si="1"/>
        <v>13</v>
      </c>
      <c r="N24" s="218"/>
      <c r="R24" s="9"/>
    </row>
    <row r="25" spans="1:18" s="11" customFormat="1" x14ac:dyDescent="0.2">
      <c r="A25" s="194" t="s">
        <v>18</v>
      </c>
      <c r="B25" s="194"/>
      <c r="C25" s="194">
        <f t="shared" ref="C25:M25" si="2">SUM(C12:C24)</f>
        <v>4759</v>
      </c>
      <c r="D25" s="194">
        <f t="shared" si="2"/>
        <v>558</v>
      </c>
      <c r="E25" s="194">
        <f t="shared" si="2"/>
        <v>0</v>
      </c>
      <c r="F25" s="194">
        <f t="shared" si="2"/>
        <v>32</v>
      </c>
      <c r="G25" s="194">
        <f t="shared" si="2"/>
        <v>5349</v>
      </c>
      <c r="H25" s="194">
        <f t="shared" si="2"/>
        <v>4691</v>
      </c>
      <c r="I25" s="194">
        <f t="shared" si="2"/>
        <v>518</v>
      </c>
      <c r="J25" s="194">
        <f t="shared" si="2"/>
        <v>0</v>
      </c>
      <c r="K25" s="194">
        <f t="shared" si="2"/>
        <v>24</v>
      </c>
      <c r="L25" s="194">
        <f t="shared" si="2"/>
        <v>5233</v>
      </c>
      <c r="M25" s="194">
        <f t="shared" si="2"/>
        <v>116</v>
      </c>
      <c r="N25" s="194"/>
    </row>
    <row r="26" spans="1:18" x14ac:dyDescent="0.2">
      <c r="A26" s="8"/>
      <c r="B26" s="16"/>
      <c r="C26" s="16"/>
      <c r="D26" s="16"/>
      <c r="E26" s="16"/>
      <c r="F26" s="16"/>
      <c r="G26" s="16"/>
      <c r="H26" s="16"/>
      <c r="I26" s="16"/>
      <c r="J26" s="16"/>
      <c r="K26" s="16"/>
      <c r="L26" s="16"/>
      <c r="M26" s="16"/>
      <c r="N26" s="9"/>
      <c r="R26" s="9"/>
    </row>
    <row r="27" spans="1:18" x14ac:dyDescent="0.2">
      <c r="A27" s="475" t="s">
        <v>7</v>
      </c>
      <c r="B27" s="468"/>
      <c r="C27" s="468"/>
      <c r="D27" s="468"/>
      <c r="E27" s="12"/>
      <c r="I27" s="12"/>
      <c r="J27" s="12"/>
      <c r="K27" s="1072" t="s">
        <v>948</v>
      </c>
      <c r="L27" s="1072"/>
      <c r="M27" s="1072"/>
      <c r="P27" s="11"/>
      <c r="Q27" s="11"/>
      <c r="R27" s="11"/>
    </row>
    <row r="28" spans="1:18" x14ac:dyDescent="0.2">
      <c r="A28" s="468" t="s">
        <v>8</v>
      </c>
      <c r="B28" s="468"/>
      <c r="C28" s="468"/>
      <c r="D28" s="468"/>
      <c r="E28" s="12"/>
      <c r="I28" s="12"/>
      <c r="J28" s="12"/>
      <c r="K28" s="1076" t="s">
        <v>947</v>
      </c>
      <c r="L28" s="1076"/>
      <c r="M28" s="1076"/>
      <c r="N28" s="834"/>
      <c r="R28" s="9"/>
    </row>
    <row r="29" spans="1:18" x14ac:dyDescent="0.2">
      <c r="A29" s="468" t="s">
        <v>9</v>
      </c>
      <c r="B29" s="468"/>
      <c r="C29" s="468"/>
      <c r="D29" s="468"/>
      <c r="E29" s="12"/>
      <c r="I29" s="12"/>
      <c r="J29" s="12"/>
      <c r="K29" s="1076" t="s">
        <v>840</v>
      </c>
      <c r="L29" s="1076"/>
      <c r="M29" s="1076"/>
      <c r="N29" s="834"/>
    </row>
    <row r="30" spans="1:18" ht="12.75" customHeight="1" x14ac:dyDescent="0.2">
      <c r="A30" s="476" t="s">
        <v>596</v>
      </c>
      <c r="B30" s="476"/>
      <c r="C30" s="468"/>
      <c r="D30" s="468"/>
      <c r="E30" s="12"/>
      <c r="I30" s="12"/>
      <c r="J30" s="12"/>
      <c r="K30" s="1078" t="s">
        <v>841</v>
      </c>
      <c r="L30" s="1078"/>
      <c r="M30" s="1078"/>
      <c r="N30" s="834"/>
    </row>
    <row r="31" spans="1:18" ht="15.75" customHeight="1" x14ac:dyDescent="0.2">
      <c r="A31" s="1079"/>
      <c r="B31" s="1079"/>
      <c r="C31" s="1079"/>
      <c r="D31" s="1079"/>
      <c r="E31" s="1079"/>
      <c r="F31" s="1079"/>
      <c r="G31" s="1079"/>
      <c r="H31" s="1079"/>
      <c r="I31" s="1079"/>
      <c r="J31" s="1079"/>
      <c r="K31" s="1079"/>
      <c r="L31" s="1079"/>
      <c r="M31" s="1079"/>
      <c r="N31" s="1079"/>
    </row>
    <row r="32" spans="1:18" x14ac:dyDescent="0.2">
      <c r="A32" s="985"/>
      <c r="B32" s="985"/>
      <c r="C32" s="985"/>
      <c r="D32" s="985"/>
      <c r="E32" s="16"/>
      <c r="I32" s="16"/>
      <c r="J32" s="16"/>
      <c r="K32" s="1077"/>
      <c r="L32" s="1077"/>
      <c r="M32" s="1077"/>
      <c r="N32" s="9"/>
    </row>
    <row r="33" spans="1:14" x14ac:dyDescent="0.2">
      <c r="E33" s="9"/>
      <c r="F33" s="9"/>
      <c r="G33" s="9"/>
      <c r="H33" s="9"/>
      <c r="I33" s="9"/>
      <c r="J33" s="9"/>
      <c r="K33" s="9"/>
      <c r="L33" s="9"/>
      <c r="M33" s="9"/>
      <c r="N33" s="9"/>
    </row>
    <row r="34" spans="1:14" x14ac:dyDescent="0.2">
      <c r="A34" s="472" t="s">
        <v>626</v>
      </c>
      <c r="B34" s="246"/>
      <c r="C34" s="246"/>
      <c r="D34" s="246"/>
      <c r="E34" s="246"/>
      <c r="F34" s="246"/>
      <c r="G34" s="246"/>
      <c r="H34" s="246"/>
      <c r="I34" s="471"/>
      <c r="J34" s="471"/>
      <c r="K34" s="471"/>
      <c r="L34" s="1011" t="s">
        <v>12</v>
      </c>
      <c r="M34" s="1011"/>
      <c r="N34" s="1011"/>
    </row>
    <row r="35" spans="1:14" ht="15.75" customHeight="1" x14ac:dyDescent="0.2">
      <c r="A35" s="1074" t="s">
        <v>13</v>
      </c>
      <c r="B35" s="1074"/>
      <c r="C35" s="1074"/>
      <c r="D35" s="1074"/>
      <c r="E35" s="1074"/>
      <c r="F35" s="1074"/>
      <c r="G35" s="1074"/>
      <c r="H35" s="1074"/>
      <c r="I35" s="1074"/>
      <c r="J35" s="1074"/>
      <c r="K35" s="1074"/>
      <c r="L35" s="1074"/>
      <c r="M35" s="1074"/>
      <c r="N35" s="1074"/>
    </row>
    <row r="36" spans="1:14" ht="15.75" customHeight="1" x14ac:dyDescent="0.2">
      <c r="A36" s="1074" t="s">
        <v>14</v>
      </c>
      <c r="B36" s="1074"/>
      <c r="C36" s="1074"/>
      <c r="D36" s="1074"/>
      <c r="E36" s="1074"/>
      <c r="F36" s="1074"/>
      <c r="G36" s="1074"/>
      <c r="H36" s="1074"/>
      <c r="I36" s="1074"/>
      <c r="J36" s="1074"/>
      <c r="K36" s="1074"/>
      <c r="L36" s="1074"/>
      <c r="M36" s="1074"/>
      <c r="N36" s="1074"/>
    </row>
    <row r="37" spans="1:14" x14ac:dyDescent="0.2">
      <c r="L37" s="1" t="s">
        <v>85</v>
      </c>
    </row>
  </sheetData>
  <mergeCells count="23">
    <mergeCell ref="D2:J2"/>
    <mergeCell ref="A3:N3"/>
    <mergeCell ref="A4:N4"/>
    <mergeCell ref="A6:N6"/>
    <mergeCell ref="L8:N8"/>
    <mergeCell ref="A8:C8"/>
    <mergeCell ref="M2:N2"/>
    <mergeCell ref="A36:N36"/>
    <mergeCell ref="A9:A10"/>
    <mergeCell ref="B9:B10"/>
    <mergeCell ref="H9:L9"/>
    <mergeCell ref="M9:M10"/>
    <mergeCell ref="N9:N10"/>
    <mergeCell ref="L34:N34"/>
    <mergeCell ref="A35:N35"/>
    <mergeCell ref="C9:G9"/>
    <mergeCell ref="K32:M32"/>
    <mergeCell ref="A32:D32"/>
    <mergeCell ref="K27:M27"/>
    <mergeCell ref="K28:M28"/>
    <mergeCell ref="K30:M30"/>
    <mergeCell ref="K29:M29"/>
    <mergeCell ref="A31:N31"/>
  </mergeCells>
  <phoneticPr fontId="0" type="noConversion"/>
  <printOptions horizontalCentered="1"/>
  <pageMargins left="0.47" right="0.53" top="0.23622047244094491" bottom="0"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73</vt:i4>
      </vt:variant>
      <vt:variant>
        <vt:lpstr>Named Ranges</vt:lpstr>
      </vt:variant>
      <vt:variant>
        <vt:i4>55</vt:i4>
      </vt:variant>
    </vt:vector>
  </HeadingPairs>
  <TitlesOfParts>
    <vt:vector size="128" baseType="lpstr">
      <vt:lpstr>Sheet1</vt:lpstr>
      <vt:lpstr>Sheet2</vt:lpstr>
      <vt:lpstr>AT-1-Gen_Info </vt:lpstr>
      <vt:lpstr>AT-2-S1 BUDGET</vt:lpstr>
      <vt:lpstr>AT_2A_fundflow</vt:lpstr>
      <vt:lpstr>AT-3</vt:lpstr>
      <vt:lpstr>AT3A_cvrg(Insti)_PY</vt:lpstr>
      <vt:lpstr>AT3B_cvrg(Insti)_UPY </vt:lpstr>
      <vt:lpstr>AT3C_cvrg(Insti)_UPY </vt:lpstr>
      <vt:lpstr>enrolment vs opted_PY</vt:lpstr>
      <vt:lpstr>enrolment vs opted_UPY</vt:lpstr>
      <vt:lpstr>AT-4B</vt:lpstr>
      <vt:lpstr>T5_PLAN_vs_PRFM</vt:lpstr>
      <vt:lpstr>T5A_PLAN_vs_PRFM (2)</vt:lpstr>
      <vt:lpstr>AT_5B PERM</vt:lpstr>
      <vt:lpstr>AT_5C PERM</vt:lpstr>
      <vt:lpstr>AT_5D PERM</vt:lpstr>
      <vt:lpstr>T6_FG_py_Utlsn</vt:lpstr>
      <vt:lpstr>T6A_FG_Upy_Utlsn </vt:lpstr>
      <vt:lpstr>T6B_Pay_FG_FCI_Pry</vt:lpstr>
      <vt:lpstr>T6C_Util</vt:lpstr>
      <vt:lpstr>T7_CC_PY_Utlsn</vt:lpstr>
      <vt:lpstr>T7ACC_UPY_Utlsn </vt:lpstr>
      <vt:lpstr>AT-8_Hon_CCH_Pry</vt:lpstr>
      <vt:lpstr>AT-8A_Hon_CCH_UPRY</vt:lpstr>
      <vt:lpstr>AT9_TA</vt:lpstr>
      <vt:lpstr>AT10_MME</vt:lpstr>
      <vt:lpstr>AT10A_</vt:lpstr>
      <vt:lpstr>AT-10B</vt:lpstr>
      <vt:lpstr>AT-10C</vt:lpstr>
      <vt:lpstr>AT-10D</vt:lpstr>
      <vt:lpstr>AT-10 E</vt:lpstr>
      <vt:lpstr>AT-10 F Drinking Water</vt:lpstr>
      <vt:lpstr>AT11_KS Year</vt:lpstr>
      <vt:lpstr>AT11A_KS</vt:lpstr>
      <vt:lpstr>AT12_KD new</vt:lpstr>
      <vt:lpstr>AT12A_Repl</vt:lpstr>
      <vt:lpstr>AT-13</vt:lpstr>
      <vt:lpstr>AT-14</vt:lpstr>
      <vt:lpstr>AT-14 A</vt:lpstr>
      <vt:lpstr>AT-15</vt:lpstr>
      <vt:lpstr>AT-16</vt:lpstr>
      <vt:lpstr>AT_17_Coverage-SHP </vt:lpstr>
      <vt:lpstr>AT18_Details_Community </vt:lpstr>
      <vt:lpstr>AT_19_Impl_Agency</vt:lpstr>
      <vt:lpstr>AT_20</vt:lpstr>
      <vt:lpstr>AT-21</vt:lpstr>
      <vt:lpstr>AT-22</vt:lpstr>
      <vt:lpstr>AT-23</vt:lpstr>
      <vt:lpstr>AT-23 (A)</vt:lpstr>
      <vt:lpstr>AT-24</vt:lpstr>
      <vt:lpstr>AT-25</vt:lpstr>
      <vt:lpstr>Sheet3</vt:lpstr>
      <vt:lpstr>AT26_NoWD</vt:lpstr>
      <vt:lpstr>AT26A_NoWD</vt:lpstr>
      <vt:lpstr>AT27_Req_FG_CA_Pry</vt:lpstr>
      <vt:lpstr>AT27A_Req_FG_CA_UPry</vt:lpstr>
      <vt:lpstr>AT27B_Req_FG_CA_NCLP</vt:lpstr>
      <vt:lpstr>AT27C_Req_FG_CA_Drought (Pry)</vt:lpstr>
      <vt:lpstr>AT27D_Req_FG_CA_Drought(U.Pry.)</vt:lpstr>
      <vt:lpstr>AT_28_RqmtKitchen</vt:lpstr>
      <vt:lpstr>AT-28A_RqmtPlinthArea</vt:lpstr>
      <vt:lpstr>AT29_K_D</vt:lpstr>
      <vt:lpstr>AT-30_Coook-cum-Helper</vt:lpstr>
      <vt:lpstr>AT_31_Budget_provision_11-121 </vt:lpstr>
      <vt:lpstr>Summary of Budget-Proposed</vt:lpstr>
      <vt:lpstr>AT32_Drought Pry Util</vt:lpstr>
      <vt:lpstr>AT-32A Drought UPry Util</vt:lpstr>
      <vt:lpstr>Budget-Proposed</vt:lpstr>
      <vt:lpstr>Budget-Proposed Best Quarter1</vt:lpstr>
      <vt:lpstr>Sheet2 (2)</vt:lpstr>
      <vt:lpstr>44 new madarsha</vt:lpstr>
      <vt:lpstr>GA 48 schools</vt:lpstr>
      <vt:lpstr>'44 new madarsha'!Print_Area</vt:lpstr>
      <vt:lpstr>'AT_17_Coverage-SHP '!Print_Area</vt:lpstr>
      <vt:lpstr>AT_19_Impl_Agency!Print_Area</vt:lpstr>
      <vt:lpstr>AT_28_RqmtKitchen!Print_Area</vt:lpstr>
      <vt:lpstr>AT_2A_fundflow!Print_Area</vt:lpstr>
      <vt:lpstr>'AT_31_Budget_provision_11-121 '!Print_Area</vt:lpstr>
      <vt:lpstr>'AT-10 E'!Print_Area</vt:lpstr>
      <vt:lpstr>'AT-10 F Drinking Water'!Print_Area</vt:lpstr>
      <vt:lpstr>AT10_MME!Print_Area</vt:lpstr>
      <vt:lpstr>AT10A_!Print_Area</vt:lpstr>
      <vt:lpstr>'AT-10C'!Print_Area</vt:lpstr>
      <vt:lpstr>'AT-10D'!Print_Area</vt:lpstr>
      <vt:lpstr>AT11A_KS!Print_Area</vt:lpstr>
      <vt:lpstr>'AT12_KD new'!Print_Area</vt:lpstr>
      <vt:lpstr>'AT-13'!Print_Area</vt:lpstr>
      <vt:lpstr>'AT-14 A'!Print_Area</vt:lpstr>
      <vt:lpstr>'AT-16'!Print_Area</vt:lpstr>
      <vt:lpstr>'AT18_Details_Community '!Print_Area</vt:lpstr>
      <vt:lpstr>'AT-1-Gen_Info '!Print_Area</vt:lpstr>
      <vt:lpstr>'AT-22'!Print_Area</vt:lpstr>
      <vt:lpstr>AT26_NoWD!Print_Area</vt:lpstr>
      <vt:lpstr>AT26A_NoWD!Print_Area</vt:lpstr>
      <vt:lpstr>AT27_Req_FG_CA_Pry!Print_Area</vt:lpstr>
      <vt:lpstr>AT27A_Req_FG_CA_UPry!Print_Area</vt:lpstr>
      <vt:lpstr>AT27B_Req_FG_CA_NCLP!Print_Area</vt:lpstr>
      <vt:lpstr>'AT27C_Req_FG_CA_Drought (Pry)'!Print_Area</vt:lpstr>
      <vt:lpstr>'AT27D_Req_FG_CA_Drought(U.Pry.)'!Print_Area</vt:lpstr>
      <vt:lpstr>'AT-28A_RqmtPlinthArea'!Print_Area</vt:lpstr>
      <vt:lpstr>AT29_K_D!Print_Area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'Budget-Proposed'!Print_Area</vt:lpstr>
      <vt:lpstr>'Budget-Proposed Best Quarter1'!Print_Area</vt:lpstr>
      <vt:lpstr>'enrolment vs opted_PY'!Print_Area</vt:lpstr>
      <vt:lpstr>'enrolment vs opted_UPY'!Print_Area</vt:lpstr>
      <vt:lpstr>'GA 48 schools'!Print_Area</vt:lpstr>
      <vt:lpstr>Sheet2!Print_Area</vt:lpstr>
      <vt:lpstr>'Sheet2 (2)'!Print_Area</vt:lpstr>
      <vt:lpstr>Sheet3!Print_Area</vt:lpstr>
      <vt:lpstr>T5_PLAN_vs_PRFM!Print_Area</vt:lpstr>
      <vt:lpstr>'T5A_PLAN_vs_PRFM (2)'!Print_Area</vt:lpstr>
      <vt:lpstr>T6_FG_py_Utlsn!Print_Area</vt:lpstr>
      <vt:lpstr>'T6A_FG_Upy_Utlsn '!Print_Area</vt:lpstr>
      <vt:lpstr>T6B_Pay_FG_FCI_Pry!Print_Area</vt:lpstr>
      <vt:lpstr>T6C_Util!Print_Area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s.k sinha</cp:lastModifiedBy>
  <cp:lastPrinted>2018-05-04T11:58:58Z</cp:lastPrinted>
  <dcterms:created xsi:type="dcterms:W3CDTF">1996-10-14T23:33:28Z</dcterms:created>
  <dcterms:modified xsi:type="dcterms:W3CDTF">2018-06-08T08:07:38Z</dcterms:modified>
</cp:coreProperties>
</file>